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690" windowHeight="6990" activeTab="0"/>
  </bookViews>
  <sheets>
    <sheet name="Ownr_Entr" sheetId="1" r:id="rId1"/>
    <sheet name="WWheat" sheetId="2" r:id="rId2"/>
    <sheet name="SWheat" sheetId="3" r:id="rId3"/>
    <sheet name="Barley" sheetId="4" r:id="rId4"/>
    <sheet name="SumFal" sheetId="5" r:id="rId5"/>
    <sheet name="Other#1" sheetId="6" r:id="rId6"/>
    <sheet name="Other#2" sheetId="7" r:id="rId7"/>
    <sheet name="CSResults" sheetId="8" r:id="rId8"/>
    <sheet name="CashLeases" sheetId="9" r:id="rId9"/>
  </sheets>
  <definedNames>
    <definedName name="\B">'Ownr_Entr'!$O$10</definedName>
    <definedName name="\C">'Ownr_Entr'!$O$35</definedName>
    <definedName name="\F">'Ownr_Entr'!$O$12</definedName>
    <definedName name="\H">'Ownr_Entr'!$O$29</definedName>
    <definedName name="\P">'Ownr_Entr'!$O$18</definedName>
    <definedName name="\R">'Ownr_Entr'!$O$2</definedName>
    <definedName name="\S">'Ownr_Entr'!$O$8</definedName>
    <definedName name="\W">'Ownr_Entr'!$O$6</definedName>
    <definedName name="\X">'Ownr_Entr'!$O$14</definedName>
    <definedName name="\Y">'Ownr_Entr'!$O$16</definedName>
    <definedName name="_Order1" hidden="1">0</definedName>
    <definedName name="_Order2" hidden="1">0</definedName>
    <definedName name="_xlnm.Print_Area" localSheetId="0">'Ownr_Entr'!$A$51:$K$63</definedName>
    <definedName name="Print_Area_MI" localSheetId="0">'Ownr_Entr'!$A$51:$K$63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<sst xmlns="http://schemas.openxmlformats.org/spreadsheetml/2006/main" count="775" uniqueCount="229">
  <si>
    <t>Estimated</t>
  </si>
  <si>
    <t>Real</t>
  </si>
  <si>
    <t>Percent</t>
  </si>
  <si>
    <t>Value</t>
  </si>
  <si>
    <t>Ownership Costs:</t>
  </si>
  <si>
    <t>Total</t>
  </si>
  <si>
    <t>Interest</t>
  </si>
  <si>
    <t>Landlords</t>
  </si>
  <si>
    <t>Tenants</t>
  </si>
  <si>
    <t>(Opportunity Costs)</t>
  </si>
  <si>
    <t>Rate %</t>
  </si>
  <si>
    <t>Share</t>
  </si>
  <si>
    <t>Investment Costs</t>
  </si>
  <si>
    <t xml:space="preserve">  Land &amp; Improvements</t>
  </si>
  <si>
    <t xml:space="preserve">  Buldgs &amp; Fences-Value Capacity Util.</t>
  </si>
  <si>
    <t xml:space="preserve">  Machinery-Only Value Capacity Utilized</t>
  </si>
  <si>
    <t xml:space="preserve">  Equipment-Only Value Capacity Utilized</t>
  </si>
  <si>
    <t xml:space="preserve">  Supplies</t>
  </si>
  <si>
    <t xml:space="preserve">  Other Investment Costs</t>
  </si>
  <si>
    <t>Total Opportunity Costs on Investment</t>
  </si>
  <si>
    <t>Other Ownership Costs:</t>
  </si>
  <si>
    <t>(Depreciation)</t>
  </si>
  <si>
    <t>Dep.</t>
  </si>
  <si>
    <t xml:space="preserve">  Buildings &amp; Fences</t>
  </si>
  <si>
    <t xml:space="preserve">  Machinery</t>
  </si>
  <si>
    <t xml:space="preserve">  Equipment</t>
  </si>
  <si>
    <t xml:space="preserve">  Other Depreciation Costs</t>
  </si>
  <si>
    <t>Other Ownership Costs: (Taxes)</t>
  </si>
  <si>
    <t>Taxes</t>
  </si>
  <si>
    <t xml:space="preserve">  Other Tax Costs</t>
  </si>
  <si>
    <t>Other Ownership Costs: (Insurance)</t>
  </si>
  <si>
    <t>Insur.</t>
  </si>
  <si>
    <t xml:space="preserve">  Other Insurance Costs:(NOT CROP)</t>
  </si>
  <si>
    <t>Total Ownership Costs:</t>
  </si>
  <si>
    <t xml:space="preserve">  (Interest, Depreciation, Taxes, Insurance)</t>
  </si>
  <si>
    <t>Enter Costs Based On The Units Shown. If the units show are listed as UNITS,</t>
  </si>
  <si>
    <t>Simply Match The Units of Measure (Cwt., Qts, Pints, Etc.) and The Price Per Unit.</t>
  </si>
  <si>
    <t>Tractor and Machinery Operating Costs Can Be Entered On a Per Acre or Total Basis.</t>
  </si>
  <si>
    <t>Enter the information requested for each crop listed:</t>
  </si>
  <si>
    <t xml:space="preserve">Winter </t>
  </si>
  <si>
    <t>Spring</t>
  </si>
  <si>
    <t>Summer</t>
  </si>
  <si>
    <t>Other</t>
  </si>
  <si>
    <t>Acres</t>
  </si>
  <si>
    <t>Wheat</t>
  </si>
  <si>
    <t>Barley</t>
  </si>
  <si>
    <t>Fallow</t>
  </si>
  <si>
    <t>Crop#1</t>
  </si>
  <si>
    <t>Crop#2</t>
  </si>
  <si>
    <t>Involved</t>
  </si>
  <si>
    <t>Number of Acres</t>
  </si>
  <si>
    <t>Expected Yield</t>
  </si>
  <si>
    <t>Expected Price</t>
  </si>
  <si>
    <t>Other Revenue/Ac.</t>
  </si>
  <si>
    <t>Revenue</t>
  </si>
  <si>
    <t>Enterprise Revenue</t>
  </si>
  <si>
    <t>Operating Loan</t>
  </si>
  <si>
    <t>Interest Rate</t>
  </si>
  <si>
    <t>Winter Wheat</t>
  </si>
  <si>
    <t>Enter the Total Costs Per Acre for Winter Wheat</t>
  </si>
  <si>
    <t>Price</t>
  </si>
  <si>
    <t>Quantity</t>
  </si>
  <si>
    <t>Per</t>
  </si>
  <si>
    <t xml:space="preserve">    A. PREHARVEST</t>
  </si>
  <si>
    <t>UNITS</t>
  </si>
  <si>
    <t>Unit</t>
  </si>
  <si>
    <t>1. Seed</t>
  </si>
  <si>
    <t>BUSHEL</t>
  </si>
  <si>
    <t>2. Chemicals _____________</t>
  </si>
  <si>
    <t>2,4-D</t>
  </si>
  <si>
    <t>UNIT</t>
  </si>
  <si>
    <t xml:space="preserve">    ______________________</t>
  </si>
  <si>
    <t>3. Chemical Application</t>
  </si>
  <si>
    <t>ACRE</t>
  </si>
  <si>
    <t>4. Fertilizer</t>
  </si>
  <si>
    <t>nitrogen</t>
  </si>
  <si>
    <t>LBS.</t>
  </si>
  <si>
    <t>phos</t>
  </si>
  <si>
    <t>5. Fertilizer Application</t>
  </si>
  <si>
    <t>6. Insurance (Crop)</t>
  </si>
  <si>
    <t>7. Tractor Operating Cost</t>
  </si>
  <si>
    <t xml:space="preserve">   (Fuel, Oil, Repairs)</t>
  </si>
  <si>
    <t/>
  </si>
  <si>
    <t>8. Machinery Operating Costs</t>
  </si>
  <si>
    <t xml:space="preserve">   (Oil, Grease, Repairs)</t>
  </si>
  <si>
    <t>9. Hired Labor</t>
  </si>
  <si>
    <t xml:space="preserve">   A. Wages</t>
  </si>
  <si>
    <t>HOURS</t>
  </si>
  <si>
    <t xml:space="preserve">   B. Social Security</t>
  </si>
  <si>
    <t xml:space="preserve">   C. Workman's Comp.</t>
  </si>
  <si>
    <t>10. Unpaid Labor</t>
  </si>
  <si>
    <t xml:space="preserve">   A. Owner/Landlord</t>
  </si>
  <si>
    <t xml:space="preserve">   B. Operator/Tenant</t>
  </si>
  <si>
    <t xml:space="preserve">   C. Tenant's Spouse</t>
  </si>
  <si>
    <t xml:space="preserve">   D. Tenant's Children</t>
  </si>
  <si>
    <t>11. Other Misc. #1</t>
  </si>
  <si>
    <t>12. Other Misc. #2</t>
  </si>
  <si>
    <t>13. Interest On Preharvest Costs</t>
  </si>
  <si>
    <t>DOLLARS</t>
  </si>
  <si>
    <t xml:space="preserve"> A. Avg. Months Loan Outstanding*</t>
  </si>
  <si>
    <t xml:space="preserve">   B. HARVEST COSTS</t>
  </si>
  <si>
    <t>14. Combine Operating Costs Only</t>
  </si>
  <si>
    <t>15. Truck Operating Costs Only</t>
  </si>
  <si>
    <t>16. Interest On Harvest Costs</t>
  </si>
  <si>
    <t xml:space="preserve"> A. Avg. Months Loan Outstanding**</t>
  </si>
  <si>
    <t>Total Operating Costs For Winter Wheat Acres:</t>
  </si>
  <si>
    <t>Spring Wheat:</t>
  </si>
  <si>
    <t>Enter the Total Costs Per Acre for Spring Wheat</t>
  </si>
  <si>
    <t>Total Operating Costs For Spring Wheat Acres:</t>
  </si>
  <si>
    <t>Enter The Costs Per Acre for Barley</t>
  </si>
  <si>
    <t>13. Interest On Preharvest Csts</t>
  </si>
  <si>
    <t>Total Operating Costs For Barley Acres:</t>
  </si>
  <si>
    <t>Summer Fallow</t>
  </si>
  <si>
    <t>Enter The Costs Per Acre For Summer Fallow</t>
  </si>
  <si>
    <t xml:space="preserve">    A. Summer Fallow Activities</t>
  </si>
  <si>
    <t>1. Chemicals _____________</t>
  </si>
  <si>
    <t>2. Chemical Application</t>
  </si>
  <si>
    <t>3. Tractor Operating Cost</t>
  </si>
  <si>
    <t>4. Machinery Operating Costs</t>
  </si>
  <si>
    <t>5. Hired Labor</t>
  </si>
  <si>
    <t>6. Unpaid Labor</t>
  </si>
  <si>
    <t>7. Other Misc. #1</t>
  </si>
  <si>
    <t>8. Other Misc. #2</t>
  </si>
  <si>
    <t>9. Interest On Preharvest Costs</t>
  </si>
  <si>
    <t>Total Operating Costs For Summer Fallow:</t>
  </si>
  <si>
    <t>Other Crop # 1</t>
  </si>
  <si>
    <t>Enter The Costs Per Acre For Other Crop # 1</t>
  </si>
  <si>
    <t>Total Operating Costs For Other Crop # 1:</t>
  </si>
  <si>
    <t>Other Crop # 2</t>
  </si>
  <si>
    <t>Enter The Costs Per Acre For Other Crop # 2</t>
  </si>
  <si>
    <t>Total Operating Costs For Other Crop # 2:</t>
  </si>
  <si>
    <t>Tenant</t>
  </si>
  <si>
    <t>Landlord</t>
  </si>
  <si>
    <t>Total Ownership Costs by Share</t>
  </si>
  <si>
    <t>Total Operating Costs For Winter Wheat by Share</t>
  </si>
  <si>
    <t>Total Operating Costs For Spring Wheat by Share</t>
  </si>
  <si>
    <t>Total Operating Costs For Barley by Share</t>
  </si>
  <si>
    <t>Total Operating Costs For Summer Fallow by Share</t>
  </si>
  <si>
    <t>Total Operating Costs For Other Crop # 1 by Share</t>
  </si>
  <si>
    <t>Total Operating Costs For Other Crop # 2 by Share</t>
  </si>
  <si>
    <t>Total Ownership and Operating Costs by Share</t>
  </si>
  <si>
    <t>Percent of Total Contributions Made be Each Party</t>
  </si>
  <si>
    <t>Total Acres Leased</t>
  </si>
  <si>
    <t>Total Revenue From All Enterprises As Calculated Above</t>
  </si>
  <si>
    <t>Per Acre Dollar Value of Gross Returns Based on Each Party's</t>
  </si>
  <si>
    <t>Share and Price and Yield Expectations (Based on Total Acres)</t>
  </si>
  <si>
    <t>Per Acre Cost by Share (Based on Total Acres)</t>
  </si>
  <si>
    <t>Net Return Over Total Costs Per Acre (Based on Total Acres Leased)</t>
  </si>
  <si>
    <t>Net Return Over Cash Costs Per Acre (Based on Total Acres Leased)</t>
  </si>
  <si>
    <t xml:space="preserve">  (Cash Costs Includes all Costs Except Deprecation, Interest</t>
  </si>
  <si>
    <t xml:space="preserve">  on Investment, and Unpaid Labor)</t>
  </si>
  <si>
    <t>Cash Lease Arrangements (Based on Cost Contributions Approach)</t>
  </si>
  <si>
    <t>N</t>
  </si>
  <si>
    <t xml:space="preserve">  &lt; upper or lower case OK</t>
  </si>
  <si>
    <t xml:space="preserve">  It is assumed here that if the answer is Y (the landlord will pay a portion of operating</t>
  </si>
  <si>
    <t xml:space="preserve">  costs) that the above cost sharing arrangement are correct.  If the answer is N, the </t>
  </si>
  <si>
    <t xml:space="preserve">  program recalculates the cost contributions of each party without the landlord sharing</t>
  </si>
  <si>
    <t>Total Costs Operating and Ownership</t>
  </si>
  <si>
    <t>Percent share calculations without the landlord sharing any operating costs, if so.</t>
  </si>
  <si>
    <t>Cash Lease</t>
  </si>
  <si>
    <t>Per Acre</t>
  </si>
  <si>
    <t xml:space="preserve">Discount Rate </t>
  </si>
  <si>
    <t xml:space="preserve">Based on </t>
  </si>
  <si>
    <t>For Cash</t>
  </si>
  <si>
    <t>Discounts Entered</t>
  </si>
  <si>
    <t>Cash Lease/Acre</t>
  </si>
  <si>
    <t>Based on Total Acres</t>
  </si>
  <si>
    <t>Leased</t>
  </si>
  <si>
    <t>This procedure is based on the yields and prices that were entered on rows 57 and 58 of this spreadsheet,</t>
  </si>
  <si>
    <t>(and are shown on rows 348 and 349 also).  These are the "agreed upon base price and yield.</t>
  </si>
  <si>
    <t>adjustment for risk is shown in cell H352.</t>
  </si>
  <si>
    <t xml:space="preserve">Cash Lease adjusted for Yield Variation </t>
  </si>
  <si>
    <t>Established Cash Lease</t>
  </si>
  <si>
    <t>New Cash Lease Based on Actual Yields Weighted by Acres In Each Enterprise</t>
  </si>
  <si>
    <t>Actual Yield</t>
  </si>
  <si>
    <t>Yield Ratio</t>
  </si>
  <si>
    <t>Enter Percent</t>
  </si>
  <si>
    <t>Increment in Yield</t>
  </si>
  <si>
    <t>Entered Percent Change.</t>
  </si>
  <si>
    <t>Based on</t>
  </si>
  <si>
    <t>% Yield Change</t>
  </si>
  <si>
    <r>
      <t xml:space="preserve">Varied </t>
    </r>
    <r>
      <rPr>
        <b/>
        <sz val="12"/>
        <rFont val="Times New Roman"/>
        <family val="1"/>
      </rPr>
      <t>Yields</t>
    </r>
  </si>
  <si>
    <t>Three Increment Dec.</t>
  </si>
  <si>
    <t>----</t>
  </si>
  <si>
    <t>Two Increment Dec.</t>
  </si>
  <si>
    <t>One Increment Dec.</t>
  </si>
  <si>
    <t>Specified Yield</t>
  </si>
  <si>
    <t>One Increment Inc.</t>
  </si>
  <si>
    <t>Two Increment Inc.</t>
  </si>
  <si>
    <t>Three Increment Inc.</t>
  </si>
  <si>
    <t xml:space="preserve">Cash Lease adjusted for Price Variation </t>
  </si>
  <si>
    <t>New Cash Lease Based on Actual Prices Weighted by Acres In Each Enterprise</t>
  </si>
  <si>
    <t>Actual Price</t>
  </si>
  <si>
    <t>Price Ratio</t>
  </si>
  <si>
    <t>Increment in Price</t>
  </si>
  <si>
    <t>% Price Change</t>
  </si>
  <si>
    <r>
      <t xml:space="preserve">Varied </t>
    </r>
    <r>
      <rPr>
        <b/>
        <sz val="12"/>
        <rFont val="Times New Roman"/>
        <family val="1"/>
      </rPr>
      <t>Prices</t>
    </r>
  </si>
  <si>
    <t>Specified Price</t>
  </si>
  <si>
    <t>Adjusted for Price</t>
  </si>
  <si>
    <t>and Yield Changes</t>
  </si>
  <si>
    <t>Using Pre-specified</t>
  </si>
  <si>
    <t>Price &amp; Yield as a Base</t>
  </si>
  <si>
    <t>Will the Landlord pay operating costs for the enterprises under a cash lease.  (Y/N)</t>
  </si>
  <si>
    <t>The Other Crop #1 and Other Crop #2 Options Can Be Used For Any Crop, or CRP Acreage.</t>
  </si>
  <si>
    <t>Methods and Procedures of Estimating Rent for Crop Share, and Flexable Cash Leases.</t>
  </si>
  <si>
    <t>Variable Costs (Next Few Sheets)</t>
  </si>
  <si>
    <t>You must complete the costs share calculations for each enterprise first.</t>
  </si>
  <si>
    <t xml:space="preserve">  operating costs (chemicals, fertilizer, seed, etc.).</t>
  </si>
  <si>
    <r>
      <t xml:space="preserve">Flexible Cash Lease Arrangements Based on </t>
    </r>
    <r>
      <rPr>
        <b/>
        <sz val="16"/>
        <rFont val="Times New Roman"/>
        <family val="1"/>
      </rPr>
      <t xml:space="preserve">Yield </t>
    </r>
    <r>
      <rPr>
        <sz val="16"/>
        <rFont val="Times New Roman"/>
        <family val="1"/>
      </rPr>
      <t>Variations</t>
    </r>
  </si>
  <si>
    <t xml:space="preserve">established by the landlord and tenant before the lease is initiated.  The base cash lease rate after initial </t>
  </si>
  <si>
    <r>
      <t xml:space="preserve">Sensitivity Table for </t>
    </r>
    <r>
      <rPr>
        <b/>
        <sz val="14"/>
        <rFont val="Times New Roman"/>
        <family val="1"/>
      </rPr>
      <t>Yield</t>
    </r>
    <r>
      <rPr>
        <sz val="12"/>
        <rFont val="Times New Roman"/>
        <family val="1"/>
      </rPr>
      <t xml:space="preserve"> Increase/Decrease Based on User </t>
    </r>
  </si>
  <si>
    <r>
      <t xml:space="preserve">Flexible Cash Lease Arrangements Based on </t>
    </r>
    <r>
      <rPr>
        <b/>
        <sz val="16"/>
        <rFont val="Times New Roman"/>
        <family val="1"/>
      </rPr>
      <t>Price</t>
    </r>
    <r>
      <rPr>
        <sz val="16"/>
        <rFont val="Times New Roman"/>
        <family val="1"/>
      </rPr>
      <t xml:space="preserve"> Variations</t>
    </r>
  </si>
  <si>
    <r>
      <t xml:space="preserve">Sensitivity Table for </t>
    </r>
    <r>
      <rPr>
        <b/>
        <sz val="14"/>
        <rFont val="Times New Roman"/>
        <family val="1"/>
      </rPr>
      <t>Price</t>
    </r>
    <r>
      <rPr>
        <sz val="12"/>
        <rFont val="Times New Roman"/>
        <family val="1"/>
      </rPr>
      <t xml:space="preserve"> Increase/Decrease Based on User </t>
    </r>
  </si>
  <si>
    <r>
      <t xml:space="preserve">Flexible Cash Lease Arrangements Based on </t>
    </r>
    <r>
      <rPr>
        <b/>
        <sz val="16"/>
        <rFont val="Times New Roman"/>
        <family val="1"/>
      </rPr>
      <t>Both Price and Yield</t>
    </r>
    <r>
      <rPr>
        <sz val="16"/>
        <rFont val="Times New Roman"/>
        <family val="1"/>
      </rPr>
      <t xml:space="preserve"> Variations</t>
    </r>
  </si>
  <si>
    <t>Both the Cash Lease and Flexible Cash Lease calculations are driven off from the Cost Share Lease Calculations.</t>
  </si>
  <si>
    <t>Total Costs For Both Landlord and Tenant</t>
  </si>
  <si>
    <r>
      <t xml:space="preserve">from previously specified "expected" </t>
    </r>
    <r>
      <rPr>
        <sz val="12"/>
        <color indexed="10"/>
        <rFont val="Times New Roman"/>
        <family val="1"/>
      </rPr>
      <t>crop yields.</t>
    </r>
  </si>
  <si>
    <r>
      <t xml:space="preserve">from previously specified "expected" </t>
    </r>
    <r>
      <rPr>
        <sz val="12"/>
        <color indexed="10"/>
        <rFont val="Times New Roman"/>
        <family val="1"/>
      </rPr>
      <t>crop price.</t>
    </r>
  </si>
  <si>
    <t>Results for Crop Share lease calculations for each enterprise utilized.</t>
  </si>
  <si>
    <t>Initial Cash Lease Per acres is adjusted by both Yield and Price ratios.</t>
  </si>
  <si>
    <t xml:space="preserve">Established Cash Lease    </t>
  </si>
  <si>
    <t>Established Yield</t>
  </si>
  <si>
    <t>Established Price</t>
  </si>
  <si>
    <t>Rate Per Acre</t>
  </si>
  <si>
    <t>Landlord's Share</t>
  </si>
  <si>
    <t>Total Lease Payment</t>
  </si>
  <si>
    <t>Total Lease Acreage</t>
  </si>
  <si>
    <t>Total Adjusted Cash Lease Payment</t>
  </si>
  <si>
    <t>Click this text box when you wish to print your input and results.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</si>
</sst>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0_);\(#,##0.000\)"/>
    <numFmt numFmtId="167" formatCode="0_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&quot;$&quot;#,##0.00"/>
    <numFmt numFmtId="174" formatCode="0.000"/>
    <numFmt numFmtId="175" formatCode="&quot;$&quot;#,##0.000"/>
  </numFmts>
  <fonts count="18">
    <font>
      <sz val="12"/>
      <name val="TIMES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color indexed="12"/>
      <name val="TIMES"/>
      <family val="0"/>
    </font>
    <font>
      <b/>
      <sz val="18"/>
      <name val="TIMES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name val="TIMES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lightGray">
        <fgColor indexed="16"/>
        <bgColor indexed="16"/>
      </patternFill>
    </fill>
    <fill>
      <patternFill patternType="lightGray">
        <fgColor indexed="13"/>
        <bgColor indexed="13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0"/>
      </right>
      <top style="thin"/>
      <bottom style="thin"/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3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164" fontId="0" fillId="0" borderId="0" xfId="0" applyAlignment="1">
      <alignment horizontal="left"/>
    </xf>
    <xf numFmtId="164" fontId="6" fillId="0" borderId="0" xfId="0" applyNumberFormat="1" applyFont="1" applyAlignment="1" applyProtection="1">
      <alignment horizontal="left"/>
      <protection/>
    </xf>
    <xf numFmtId="164" fontId="0" fillId="0" borderId="1" xfId="0" applyNumberForma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 locked="0"/>
    </xf>
    <xf numFmtId="164" fontId="7" fillId="0" borderId="2" xfId="0" applyNumberFormat="1" applyFont="1" applyBorder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 locked="0"/>
    </xf>
    <xf numFmtId="10" fontId="8" fillId="0" borderId="1" xfId="0" applyNumberFormat="1" applyFont="1" applyBorder="1" applyAlignment="1" applyProtection="1">
      <alignment/>
      <protection locked="0"/>
    </xf>
    <xf numFmtId="164" fontId="7" fillId="0" borderId="1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 horizontal="center"/>
      <protection/>
    </xf>
    <xf numFmtId="164" fontId="7" fillId="0" borderId="4" xfId="0" applyNumberFormat="1" applyFont="1" applyBorder="1" applyAlignment="1" applyProtection="1">
      <alignment horizontal="center"/>
      <protection/>
    </xf>
    <xf numFmtId="7" fontId="7" fillId="0" borderId="3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5" fontId="8" fillId="0" borderId="5" xfId="0" applyNumberFormat="1" applyFont="1" applyBorder="1" applyAlignment="1" applyProtection="1">
      <alignment/>
      <protection locked="0"/>
    </xf>
    <xf numFmtId="165" fontId="8" fillId="0" borderId="6" xfId="0" applyNumberFormat="1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5" fontId="8" fillId="0" borderId="0" xfId="0" applyNumberFormat="1" applyFont="1" applyAlignment="1" applyProtection="1">
      <alignment/>
      <protection locked="0"/>
    </xf>
    <xf numFmtId="7" fontId="8" fillId="0" borderId="1" xfId="0" applyNumberFormat="1" applyFont="1" applyBorder="1" applyAlignment="1" applyProtection="1">
      <alignment/>
      <protection locked="0"/>
    </xf>
    <xf numFmtId="7" fontId="8" fillId="0" borderId="0" xfId="0" applyNumberFormat="1" applyFont="1" applyAlignment="1" applyProtection="1">
      <alignment/>
      <protection locked="0"/>
    </xf>
    <xf numFmtId="7" fontId="8" fillId="0" borderId="7" xfId="0" applyNumberFormat="1" applyFont="1" applyBorder="1" applyAlignment="1" applyProtection="1">
      <alignment/>
      <protection locked="0"/>
    </xf>
    <xf numFmtId="7" fontId="8" fillId="0" borderId="8" xfId="0" applyNumberFormat="1" applyFont="1" applyBorder="1" applyAlignment="1" applyProtection="1">
      <alignment/>
      <protection locked="0"/>
    </xf>
    <xf numFmtId="10" fontId="8" fillId="0" borderId="9" xfId="0" applyNumberFormat="1" applyFont="1" applyBorder="1" applyAlignment="1" applyProtection="1">
      <alignment/>
      <protection locked="0"/>
    </xf>
    <xf numFmtId="164" fontId="7" fillId="0" borderId="0" xfId="0" applyFont="1" applyAlignment="1">
      <alignment/>
    </xf>
    <xf numFmtId="164" fontId="7" fillId="0" borderId="3" xfId="0" applyNumberFormat="1" applyFont="1" applyBorder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 horizontal="left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/>
      <protection/>
    </xf>
    <xf numFmtId="166" fontId="8" fillId="0" borderId="1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/>
      <protection/>
    </xf>
    <xf numFmtId="165" fontId="8" fillId="0" borderId="1" xfId="0" applyNumberFormat="1" applyFont="1" applyBorder="1" applyAlignment="1" applyProtection="1">
      <alignment horizontal="center"/>
      <protection locked="0"/>
    </xf>
    <xf numFmtId="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9" fillId="2" borderId="0" xfId="0" applyNumberFormat="1" applyFont="1" applyFill="1" applyAlignment="1" applyProtection="1">
      <alignment/>
      <protection/>
    </xf>
    <xf numFmtId="171" fontId="9" fillId="2" borderId="2" xfId="17" applyNumberFormat="1" applyFont="1" applyFill="1" applyBorder="1" applyAlignment="1" applyProtection="1">
      <alignment/>
      <protection/>
    </xf>
    <xf numFmtId="171" fontId="9" fillId="2" borderId="0" xfId="17" applyNumberFormat="1" applyFont="1" applyFill="1" applyAlignment="1" applyProtection="1">
      <alignment/>
      <protection/>
    </xf>
    <xf numFmtId="165" fontId="7" fillId="3" borderId="0" xfId="0" applyNumberFormat="1" applyFont="1" applyFill="1" applyAlignment="1" applyProtection="1">
      <alignment/>
      <protection/>
    </xf>
    <xf numFmtId="7" fontId="7" fillId="3" borderId="0" xfId="0" applyNumberFormat="1" applyFont="1" applyFill="1" applyAlignment="1" applyProtection="1">
      <alignment/>
      <protection/>
    </xf>
    <xf numFmtId="10" fontId="7" fillId="4" borderId="1" xfId="0" applyNumberFormat="1" applyFont="1" applyFill="1" applyBorder="1" applyAlignment="1" applyProtection="1">
      <alignment/>
      <protection/>
    </xf>
    <xf numFmtId="167" fontId="7" fillId="4" borderId="1" xfId="0" applyNumberFormat="1" applyFont="1" applyFill="1" applyBorder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4" fontId="8" fillId="4" borderId="1" xfId="0" applyNumberFormat="1" applyFont="1" applyFill="1" applyBorder="1" applyAlignment="1" applyProtection="1">
      <alignment/>
      <protection/>
    </xf>
    <xf numFmtId="44" fontId="9" fillId="2" borderId="0" xfId="17" applyFont="1" applyFill="1" applyAlignment="1" applyProtection="1">
      <alignment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5" fontId="7" fillId="0" borderId="10" xfId="0" applyNumberFormat="1" applyFont="1" applyBorder="1" applyAlignment="1" applyProtection="1">
      <alignment horizontal="center"/>
      <protection/>
    </xf>
    <xf numFmtId="164" fontId="7" fillId="0" borderId="11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4" fontId="7" fillId="0" borderId="8" xfId="0" applyNumberFormat="1" applyFont="1" applyBorder="1" applyAlignment="1" applyProtection="1">
      <alignment horizontal="center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/>
      <protection/>
    </xf>
    <xf numFmtId="164" fontId="7" fillId="0" borderId="13" xfId="0" applyNumberFormat="1" applyFont="1" applyBorder="1" applyAlignment="1" applyProtection="1">
      <alignment/>
      <protection/>
    </xf>
    <xf numFmtId="165" fontId="7" fillId="0" borderId="1" xfId="0" applyNumberFormat="1" applyFont="1" applyBorder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 locked="0"/>
    </xf>
    <xf numFmtId="165" fontId="7" fillId="3" borderId="0" xfId="0" applyNumberFormat="1" applyFont="1" applyFill="1" applyAlignment="1" applyProtection="1">
      <alignment/>
      <protection/>
    </xf>
    <xf numFmtId="165" fontId="7" fillId="0" borderId="8" xfId="0" applyNumberFormat="1" applyFont="1" applyBorder="1" applyAlignment="1" applyProtection="1">
      <alignment/>
      <protection locked="0"/>
    </xf>
    <xf numFmtId="7" fontId="7" fillId="0" borderId="1" xfId="0" applyNumberFormat="1" applyFont="1" applyBorder="1" applyAlignment="1" applyProtection="1">
      <alignment/>
      <protection locked="0"/>
    </xf>
    <xf numFmtId="7" fontId="7" fillId="0" borderId="0" xfId="0" applyNumberFormat="1" applyFont="1" applyAlignment="1" applyProtection="1">
      <alignment/>
      <protection locked="0"/>
    </xf>
    <xf numFmtId="7" fontId="7" fillId="3" borderId="0" xfId="0" applyNumberFormat="1" applyFont="1" applyFill="1" applyAlignment="1" applyProtection="1">
      <alignment/>
      <protection/>
    </xf>
    <xf numFmtId="7" fontId="7" fillId="0" borderId="12" xfId="0" applyNumberFormat="1" applyFont="1" applyBorder="1" applyAlignment="1" applyProtection="1">
      <alignment/>
      <protection locked="0"/>
    </xf>
    <xf numFmtId="164" fontId="7" fillId="0" borderId="8" xfId="0" applyNumberFormat="1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7" xfId="0" applyNumberFormat="1" applyFont="1" applyBorder="1" applyAlignment="1" applyProtection="1">
      <alignment horizontal="center"/>
      <protection/>
    </xf>
    <xf numFmtId="165" fontId="7" fillId="0" borderId="17" xfId="0" applyNumberFormat="1" applyFont="1" applyBorder="1" applyAlignment="1" applyProtection="1">
      <alignment horizontal="center"/>
      <protection/>
    </xf>
    <xf numFmtId="164" fontId="9" fillId="5" borderId="0" xfId="0" applyFont="1" applyFill="1" applyBorder="1" applyAlignment="1">
      <alignment horizontal="center"/>
    </xf>
    <xf numFmtId="164" fontId="7" fillId="2" borderId="18" xfId="0" applyFont="1" applyFill="1" applyBorder="1" applyAlignment="1">
      <alignment/>
    </xf>
    <xf numFmtId="164" fontId="7" fillId="2" borderId="19" xfId="0" applyFont="1" applyFill="1" applyBorder="1" applyAlignment="1">
      <alignment/>
    </xf>
    <xf numFmtId="164" fontId="7" fillId="2" borderId="15" xfId="0" applyFont="1" applyFill="1" applyBorder="1" applyAlignment="1">
      <alignment/>
    </xf>
    <xf numFmtId="164" fontId="7" fillId="0" borderId="0" xfId="0" applyFont="1" applyAlignment="1">
      <alignment horizontal="center"/>
    </xf>
    <xf numFmtId="164" fontId="9" fillId="5" borderId="17" xfId="0" applyFont="1" applyFill="1" applyBorder="1" applyAlignment="1">
      <alignment horizontal="center"/>
    </xf>
    <xf numFmtId="10" fontId="8" fillId="0" borderId="20" xfId="19" applyNumberFormat="1" applyFont="1" applyBorder="1" applyAlignment="1">
      <alignment/>
    </xf>
    <xf numFmtId="10" fontId="8" fillId="0" borderId="17" xfId="19" applyNumberFormat="1" applyFont="1" applyBorder="1" applyAlignment="1">
      <alignment/>
    </xf>
    <xf numFmtId="10" fontId="8" fillId="0" borderId="12" xfId="19" applyNumberFormat="1" applyFont="1" applyBorder="1" applyAlignment="1">
      <alignment/>
    </xf>
    <xf numFmtId="173" fontId="7" fillId="0" borderId="0" xfId="0" applyNumberFormat="1" applyFont="1" applyAlignment="1">
      <alignment/>
    </xf>
    <xf numFmtId="164" fontId="7" fillId="0" borderId="0" xfId="0" applyFont="1" applyAlignment="1" quotePrefix="1">
      <alignment/>
    </xf>
    <xf numFmtId="164" fontId="9" fillId="0" borderId="0" xfId="0" applyFont="1" applyAlignment="1">
      <alignment/>
    </xf>
    <xf numFmtId="164" fontId="7" fillId="0" borderId="0" xfId="0" applyFont="1" applyAlignment="1">
      <alignment horizontal="left"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8" fillId="6" borderId="19" xfId="0" applyFont="1" applyFill="1" applyBorder="1" applyAlignment="1">
      <alignment horizontal="center"/>
    </xf>
    <xf numFmtId="164" fontId="8" fillId="0" borderId="15" xfId="0" applyFont="1" applyBorder="1" applyAlignment="1">
      <alignment horizontal="center"/>
    </xf>
    <xf numFmtId="174" fontId="7" fillId="0" borderId="0" xfId="0" applyNumberFormat="1" applyFont="1" applyAlignment="1">
      <alignment horizontal="center"/>
    </xf>
    <xf numFmtId="173" fontId="9" fillId="7" borderId="0" xfId="0" applyNumberFormat="1" applyFont="1" applyFill="1" applyAlignment="1">
      <alignment/>
    </xf>
    <xf numFmtId="164" fontId="7" fillId="0" borderId="0" xfId="0" applyFont="1" applyAlignment="1">
      <alignment horizontal="centerContinuous"/>
    </xf>
    <xf numFmtId="10" fontId="8" fillId="0" borderId="21" xfId="19" applyNumberFormat="1" applyFont="1" applyBorder="1" applyAlignment="1">
      <alignment/>
    </xf>
    <xf numFmtId="164" fontId="7" fillId="0" borderId="20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8" borderId="0" xfId="0" applyNumberFormat="1" applyFont="1" applyFill="1" applyAlignment="1" quotePrefix="1">
      <alignment horizontal="center"/>
    </xf>
    <xf numFmtId="173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64" fontId="7" fillId="0" borderId="12" xfId="0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8" borderId="17" xfId="0" applyNumberFormat="1" applyFont="1" applyFill="1" applyBorder="1" applyAlignment="1" quotePrefix="1">
      <alignment horizontal="center"/>
    </xf>
    <xf numFmtId="173" fontId="7" fillId="0" borderId="20" xfId="0" applyNumberFormat="1" applyFont="1" applyBorder="1" applyAlignment="1">
      <alignment horizontal="center"/>
    </xf>
    <xf numFmtId="164" fontId="9" fillId="7" borderId="19" xfId="0" applyFont="1" applyFill="1" applyBorder="1" applyAlignment="1">
      <alignment/>
    </xf>
    <xf numFmtId="2" fontId="7" fillId="7" borderId="18" xfId="0" applyNumberFormat="1" applyFont="1" applyFill="1" applyBorder="1" applyAlignment="1">
      <alignment horizontal="center"/>
    </xf>
    <xf numFmtId="2" fontId="7" fillId="7" borderId="19" xfId="0" applyNumberFormat="1" applyFont="1" applyFill="1" applyBorder="1" applyAlignment="1">
      <alignment horizontal="center"/>
    </xf>
    <xf numFmtId="173" fontId="7" fillId="7" borderId="18" xfId="0" applyNumberFormat="1" applyFont="1" applyFill="1" applyBorder="1" applyAlignment="1">
      <alignment horizontal="center"/>
    </xf>
    <xf numFmtId="164" fontId="7" fillId="0" borderId="17" xfId="0" applyFont="1" applyBorder="1" applyAlignment="1">
      <alignment/>
    </xf>
    <xf numFmtId="173" fontId="8" fillId="0" borderId="19" xfId="0" applyNumberFormat="1" applyFont="1" applyBorder="1" applyAlignment="1">
      <alignment/>
    </xf>
    <xf numFmtId="173" fontId="7" fillId="8" borderId="19" xfId="0" applyNumberFormat="1" applyFont="1" applyFill="1" applyBorder="1" applyAlignment="1" quotePrefix="1">
      <alignment horizontal="center"/>
    </xf>
    <xf numFmtId="164" fontId="7" fillId="0" borderId="19" xfId="0" applyFont="1" applyBorder="1" applyAlignment="1">
      <alignment/>
    </xf>
    <xf numFmtId="173" fontId="8" fillId="0" borderId="18" xfId="0" applyNumberFormat="1" applyFont="1" applyBorder="1" applyAlignment="1">
      <alignment/>
    </xf>
    <xf numFmtId="173" fontId="7" fillId="8" borderId="23" xfId="0" applyNumberFormat="1" applyFont="1" applyFill="1" applyBorder="1" applyAlignment="1" quotePrefix="1">
      <alignment horizontal="center"/>
    </xf>
    <xf numFmtId="164" fontId="7" fillId="0" borderId="7" xfId="0" applyFont="1" applyBorder="1" applyAlignment="1">
      <alignment/>
    </xf>
    <xf numFmtId="164" fontId="0" fillId="0" borderId="7" xfId="0" applyBorder="1" applyAlignment="1">
      <alignment/>
    </xf>
    <xf numFmtId="175" fontId="7" fillId="0" borderId="22" xfId="0" applyNumberFormat="1" applyFont="1" applyBorder="1" applyAlignment="1">
      <alignment horizontal="center"/>
    </xf>
    <xf numFmtId="175" fontId="7" fillId="8" borderId="0" xfId="0" applyNumberFormat="1" applyFont="1" applyFill="1" applyBorder="1" applyAlignment="1" quotePrefix="1">
      <alignment horizontal="center"/>
    </xf>
    <xf numFmtId="175" fontId="7" fillId="0" borderId="7" xfId="0" applyNumberFormat="1" applyFont="1" applyBorder="1" applyAlignment="1">
      <alignment horizontal="center"/>
    </xf>
    <xf numFmtId="174" fontId="7" fillId="8" borderId="0" xfId="0" applyNumberFormat="1" applyFont="1" applyFill="1" applyBorder="1" applyAlignment="1" quotePrefix="1">
      <alignment horizontal="center"/>
    </xf>
    <xf numFmtId="175" fontId="7" fillId="0" borderId="0" xfId="0" applyNumberFormat="1" applyFont="1" applyBorder="1" applyAlignment="1">
      <alignment horizontal="center"/>
    </xf>
    <xf numFmtId="173" fontId="7" fillId="8" borderId="0" xfId="0" applyNumberFormat="1" applyFont="1" applyFill="1" applyBorder="1" applyAlignment="1">
      <alignment horizontal="center"/>
    </xf>
    <xf numFmtId="175" fontId="7" fillId="0" borderId="23" xfId="0" applyNumberFormat="1" applyFont="1" applyBorder="1" applyAlignment="1">
      <alignment horizontal="center"/>
    </xf>
    <xf numFmtId="175" fontId="7" fillId="8" borderId="23" xfId="0" applyNumberFormat="1" applyFont="1" applyFill="1" applyBorder="1" applyAlignment="1" quotePrefix="1">
      <alignment horizontal="center"/>
    </xf>
    <xf numFmtId="175" fontId="7" fillId="0" borderId="13" xfId="0" applyNumberFormat="1" applyFont="1" applyBorder="1" applyAlignment="1">
      <alignment horizontal="center"/>
    </xf>
    <xf numFmtId="175" fontId="7" fillId="0" borderId="8" xfId="0" applyNumberFormat="1" applyFont="1" applyBorder="1" applyAlignment="1">
      <alignment horizontal="center"/>
    </xf>
    <xf numFmtId="175" fontId="7" fillId="0" borderId="20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8" borderId="17" xfId="0" applyNumberFormat="1" applyFont="1" applyFill="1" applyBorder="1" applyAlignment="1" quotePrefix="1">
      <alignment horizontal="center"/>
    </xf>
    <xf numFmtId="175" fontId="7" fillId="0" borderId="12" xfId="0" applyNumberFormat="1" applyFont="1" applyBorder="1" applyAlignment="1">
      <alignment horizontal="center"/>
    </xf>
    <xf numFmtId="175" fontId="9" fillId="7" borderId="18" xfId="0" applyNumberFormat="1" applyFont="1" applyFill="1" applyBorder="1" applyAlignment="1">
      <alignment horizontal="center"/>
    </xf>
    <xf numFmtId="175" fontId="9" fillId="7" borderId="19" xfId="0" applyNumberFormat="1" applyFont="1" applyFill="1" applyBorder="1" applyAlignment="1">
      <alignment horizontal="center"/>
    </xf>
    <xf numFmtId="175" fontId="9" fillId="7" borderId="15" xfId="0" applyNumberFormat="1" applyFont="1" applyFill="1" applyBorder="1" applyAlignment="1">
      <alignment horizontal="center"/>
    </xf>
    <xf numFmtId="173" fontId="9" fillId="7" borderId="19" xfId="0" applyNumberFormat="1" applyFont="1" applyFill="1" applyBorder="1" applyAlignment="1">
      <alignment horizontal="center"/>
    </xf>
    <xf numFmtId="173" fontId="7" fillId="8" borderId="20" xfId="0" applyNumberFormat="1" applyFont="1" applyFill="1" applyBorder="1" applyAlignment="1">
      <alignment horizontal="center"/>
    </xf>
    <xf numFmtId="174" fontId="7" fillId="0" borderId="0" xfId="0" applyNumberFormat="1" applyFont="1" applyAlignment="1">
      <alignment/>
    </xf>
    <xf numFmtId="175" fontId="7" fillId="7" borderId="19" xfId="0" applyNumberFormat="1" applyFont="1" applyFill="1" applyBorder="1" applyAlignment="1" quotePrefix="1">
      <alignment horizontal="center"/>
    </xf>
    <xf numFmtId="164" fontId="9" fillId="0" borderId="14" xfId="0" applyFont="1" applyBorder="1" applyAlignment="1" quotePrefix="1">
      <alignment horizontal="center"/>
    </xf>
    <xf numFmtId="164" fontId="14" fillId="0" borderId="21" xfId="0" applyNumberFormat="1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164" fontId="0" fillId="9" borderId="0" xfId="0" applyNumberFormat="1" applyFill="1" applyAlignment="1" applyProtection="1">
      <alignment/>
      <protection/>
    </xf>
    <xf numFmtId="164" fontId="7" fillId="9" borderId="0" xfId="0" applyFont="1" applyFill="1" applyAlignment="1">
      <alignment/>
    </xf>
    <xf numFmtId="164" fontId="0" fillId="9" borderId="0" xfId="0" applyFill="1" applyAlignment="1">
      <alignment/>
    </xf>
    <xf numFmtId="173" fontId="8" fillId="0" borderId="20" xfId="0" applyNumberFormat="1" applyFont="1" applyBorder="1" applyAlignment="1">
      <alignment horizontal="center"/>
    </xf>
    <xf numFmtId="173" fontId="8" fillId="0" borderId="17" xfId="0" applyNumberFormat="1" applyFont="1" applyBorder="1" applyAlignment="1">
      <alignment horizontal="center"/>
    </xf>
    <xf numFmtId="173" fontId="7" fillId="8" borderId="17" xfId="0" applyNumberFormat="1" applyFont="1" applyFill="1" applyBorder="1" applyAlignment="1" quotePrefix="1">
      <alignment horizontal="center"/>
    </xf>
    <xf numFmtId="164" fontId="8" fillId="0" borderId="22" xfId="0" applyFont="1" applyBorder="1" applyAlignment="1">
      <alignment horizontal="center"/>
    </xf>
    <xf numFmtId="164" fontId="8" fillId="0" borderId="23" xfId="0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 applyProtection="1">
      <alignment horizontal="left"/>
      <protection/>
    </xf>
    <xf numFmtId="173" fontId="9" fillId="7" borderId="0" xfId="0" applyNumberFormat="1" applyFont="1" applyFill="1" applyAlignment="1">
      <alignment horizontal="center"/>
    </xf>
    <xf numFmtId="164" fontId="9" fillId="9" borderId="9" xfId="0" applyNumberFormat="1" applyFont="1" applyFill="1" applyBorder="1" applyAlignment="1" applyProtection="1">
      <alignment horizontal="center"/>
      <protection/>
    </xf>
    <xf numFmtId="164" fontId="9" fillId="10" borderId="9" xfId="0" applyNumberFormat="1" applyFont="1" applyFill="1" applyBorder="1" applyAlignment="1" applyProtection="1">
      <alignment horizontal="center"/>
      <protection/>
    </xf>
    <xf numFmtId="173" fontId="7" fillId="8" borderId="0" xfId="0" applyNumberFormat="1" applyFont="1" applyFill="1" applyBorder="1" applyAlignment="1" quotePrefix="1">
      <alignment horizontal="center"/>
    </xf>
    <xf numFmtId="164" fontId="15" fillId="0" borderId="0" xfId="0" applyFont="1" applyAlignment="1">
      <alignment/>
    </xf>
    <xf numFmtId="10" fontId="7" fillId="0" borderId="19" xfId="19" applyNumberFormat="1" applyFont="1" applyBorder="1" applyAlignment="1" quotePrefix="1">
      <alignment horizontal="center"/>
    </xf>
    <xf numFmtId="10" fontId="7" fillId="0" borderId="0" xfId="19" applyNumberFormat="1" applyFont="1" applyBorder="1" applyAlignment="1" quotePrefix="1">
      <alignment horizontal="center"/>
    </xf>
    <xf numFmtId="43" fontId="7" fillId="0" borderId="1" xfId="15" applyFont="1" applyBorder="1" applyAlignment="1" applyProtection="1">
      <alignment/>
      <protection/>
    </xf>
    <xf numFmtId="43" fontId="7" fillId="0" borderId="3" xfId="15" applyFont="1" applyBorder="1" applyAlignment="1" applyProtection="1">
      <alignment/>
      <protection/>
    </xf>
    <xf numFmtId="43" fontId="7" fillId="4" borderId="1" xfId="15" applyFont="1" applyFill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8" borderId="0" xfId="0" applyNumberFormat="1" applyFont="1" applyFill="1" applyBorder="1" applyAlignment="1" applyProtection="1">
      <alignment/>
      <protection/>
    </xf>
    <xf numFmtId="164" fontId="9" fillId="8" borderId="18" xfId="0" applyNumberFormat="1" applyFont="1" applyFill="1" applyBorder="1" applyAlignment="1" applyProtection="1">
      <alignment/>
      <protection/>
    </xf>
    <xf numFmtId="164" fontId="0" fillId="8" borderId="19" xfId="0" applyFill="1" applyBorder="1" applyAlignment="1">
      <alignment/>
    </xf>
    <xf numFmtId="164" fontId="10" fillId="8" borderId="19" xfId="0" applyFont="1" applyFill="1" applyBorder="1" applyAlignment="1">
      <alignment/>
    </xf>
    <xf numFmtId="164" fontId="9" fillId="8" borderId="19" xfId="0" applyNumberFormat="1" applyFont="1" applyFill="1" applyBorder="1" applyAlignment="1" applyProtection="1">
      <alignment/>
      <protection/>
    </xf>
    <xf numFmtId="164" fontId="9" fillId="8" borderId="24" xfId="0" applyNumberFormat="1" applyFont="1" applyFill="1" applyBorder="1" applyAlignment="1" applyProtection="1">
      <alignment horizontal="left"/>
      <protection/>
    </xf>
    <xf numFmtId="164" fontId="9" fillId="8" borderId="25" xfId="0" applyNumberFormat="1" applyFont="1" applyFill="1" applyBorder="1" applyAlignment="1" applyProtection="1">
      <alignment/>
      <protection/>
    </xf>
    <xf numFmtId="7" fontId="9" fillId="8" borderId="25" xfId="0" applyNumberFormat="1" applyFont="1" applyFill="1" applyBorder="1" applyAlignment="1" applyProtection="1">
      <alignment/>
      <protection/>
    </xf>
    <xf numFmtId="7" fontId="9" fillId="8" borderId="26" xfId="0" applyNumberFormat="1" applyFont="1" applyFill="1" applyBorder="1" applyAlignment="1" applyProtection="1">
      <alignment/>
      <protection/>
    </xf>
    <xf numFmtId="164" fontId="9" fillId="8" borderId="27" xfId="0" applyNumberFormat="1" applyFont="1" applyFill="1" applyBorder="1" applyAlignment="1" applyProtection="1">
      <alignment/>
      <protection/>
    </xf>
    <xf numFmtId="44" fontId="9" fillId="8" borderId="28" xfId="17" applyFont="1" applyFill="1" applyBorder="1" applyAlignment="1" applyProtection="1">
      <alignment/>
      <protection/>
    </xf>
    <xf numFmtId="164" fontId="9" fillId="8" borderId="29" xfId="0" applyNumberFormat="1" applyFont="1" applyFill="1" applyBorder="1" applyAlignment="1" applyProtection="1">
      <alignment/>
      <protection/>
    </xf>
    <xf numFmtId="164" fontId="9" fillId="8" borderId="30" xfId="0" applyNumberFormat="1" applyFont="1" applyFill="1" applyBorder="1" applyAlignment="1" applyProtection="1">
      <alignment/>
      <protection/>
    </xf>
    <xf numFmtId="10" fontId="9" fillId="8" borderId="30" xfId="19" applyNumberFormat="1" applyFont="1" applyFill="1" applyBorder="1" applyAlignment="1" applyProtection="1">
      <alignment/>
      <protection/>
    </xf>
    <xf numFmtId="10" fontId="9" fillId="8" borderId="31" xfId="19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7" fillId="0" borderId="0" xfId="0" applyFont="1" applyAlignment="1" quotePrefix="1">
      <alignment horizontal="center"/>
    </xf>
    <xf numFmtId="164" fontId="0" fillId="0" borderId="17" xfId="0" applyBorder="1" applyAlignment="1">
      <alignment horizontal="center"/>
    </xf>
    <xf numFmtId="164" fontId="8" fillId="6" borderId="1" xfId="0" applyNumberFormat="1" applyFont="1" applyFill="1" applyBorder="1" applyAlignment="1" applyProtection="1">
      <alignment/>
      <protection/>
    </xf>
    <xf numFmtId="165" fontId="8" fillId="6" borderId="1" xfId="0" applyNumberFormat="1" applyFont="1" applyFill="1" applyBorder="1" applyAlignment="1" applyProtection="1">
      <alignment horizontal="center"/>
      <protection locked="0"/>
    </xf>
    <xf numFmtId="164" fontId="8" fillId="6" borderId="1" xfId="0" applyNumberFormat="1" applyFont="1" applyFill="1" applyBorder="1" applyAlignment="1" applyProtection="1">
      <alignment/>
      <protection locked="0"/>
    </xf>
    <xf numFmtId="43" fontId="7" fillId="6" borderId="1" xfId="15" applyFont="1" applyFill="1" applyBorder="1" applyAlignment="1" applyProtection="1">
      <alignment/>
      <protection/>
    </xf>
    <xf numFmtId="164" fontId="7" fillId="6" borderId="3" xfId="0" applyNumberFormat="1" applyFont="1" applyFill="1" applyBorder="1" applyAlignment="1" applyProtection="1">
      <alignment/>
      <protection/>
    </xf>
    <xf numFmtId="43" fontId="7" fillId="6" borderId="3" xfId="15" applyFont="1" applyFill="1" applyBorder="1" applyAlignment="1" applyProtection="1">
      <alignment/>
      <protection/>
    </xf>
    <xf numFmtId="164" fontId="8" fillId="6" borderId="3" xfId="0" applyNumberFormat="1" applyFont="1" applyFill="1" applyBorder="1" applyAlignment="1" applyProtection="1">
      <alignment/>
      <protection/>
    </xf>
    <xf numFmtId="173" fontId="9" fillId="7" borderId="0" xfId="17" applyNumberFormat="1" applyFont="1" applyFill="1" applyAlignment="1">
      <alignment/>
    </xf>
    <xf numFmtId="164" fontId="10" fillId="7" borderId="0" xfId="0" applyFont="1" applyFill="1" applyAlignment="1">
      <alignment/>
    </xf>
    <xf numFmtId="173" fontId="9" fillId="7" borderId="0" xfId="0" applyNumberFormat="1" applyFont="1" applyFill="1" applyAlignment="1">
      <alignment/>
    </xf>
    <xf numFmtId="164" fontId="7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center"/>
      <protection/>
    </xf>
    <xf numFmtId="164" fontId="10" fillId="0" borderId="0" xfId="0" applyFont="1" applyAlignment="1">
      <alignment horizontal="center"/>
    </xf>
    <xf numFmtId="164" fontId="11" fillId="9" borderId="0" xfId="0" applyNumberFormat="1" applyFont="1" applyFill="1" applyAlignment="1" applyProtection="1">
      <alignment horizontal="center"/>
      <protection/>
    </xf>
    <xf numFmtId="164" fontId="12" fillId="9" borderId="0" xfId="0" applyFont="1" applyFill="1" applyAlignment="1">
      <alignment horizontal="center"/>
    </xf>
    <xf numFmtId="164" fontId="17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</xdr:row>
      <xdr:rowOff>66675</xdr:rowOff>
    </xdr:from>
    <xdr:to>
      <xdr:col>2</xdr:col>
      <xdr:colOff>533400</xdr:colOff>
      <xdr:row>3</xdr:row>
      <xdr:rowOff>142875</xdr:rowOff>
    </xdr:to>
    <xdr:sp macro="[0]!PrintAll">
      <xdr:nvSpPr>
        <xdr:cNvPr id="1" name="TextBox 2"/>
        <xdr:cNvSpPr txBox="1">
          <a:spLocks noChangeArrowheads="1"/>
        </xdr:cNvSpPr>
      </xdr:nvSpPr>
      <xdr:spPr>
        <a:xfrm>
          <a:off x="704850" y="552450"/>
          <a:ext cx="2343150" cy="276225"/>
        </a:xfrm>
        <a:prstGeom prst="rect">
          <a:avLst/>
        </a:prstGeom>
        <a:solidFill>
          <a:srgbClr val="A6CAF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"/>
              <a:ea typeface="TIMES"/>
              <a:cs typeface="TIMES"/>
            </a:rPr>
            <a:t>Print All Input and Results</a:t>
          </a:r>
        </a:p>
      </xdr:txBody>
    </xdr:sp>
    <xdr:clientData/>
  </xdr:twoCellAnchor>
  <xdr:twoCellAnchor>
    <xdr:from>
      <xdr:col>2</xdr:col>
      <xdr:colOff>619125</xdr:colOff>
      <xdr:row>2</xdr:row>
      <xdr:rowOff>104775</xdr:rowOff>
    </xdr:from>
    <xdr:to>
      <xdr:col>3</xdr:col>
      <xdr:colOff>38100</xdr:colOff>
      <xdr:row>3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3133725" y="590550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35</xdr:row>
      <xdr:rowOff>114300</xdr:rowOff>
    </xdr:from>
    <xdr:to>
      <xdr:col>7</xdr:col>
      <xdr:colOff>180975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734175" y="728662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5</xdr:col>
      <xdr:colOff>666750</xdr:colOff>
      <xdr:row>35</xdr:row>
      <xdr:rowOff>9525</xdr:rowOff>
    </xdr:from>
    <xdr:ext cx="276225" cy="257175"/>
    <xdr:sp>
      <xdr:nvSpPr>
        <xdr:cNvPr id="2" name="Text 4"/>
        <xdr:cNvSpPr txBox="1">
          <a:spLocks noChangeArrowheads="1"/>
        </xdr:cNvSpPr>
      </xdr:nvSpPr>
      <xdr:spPr>
        <a:xfrm>
          <a:off x="6429375" y="71818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"/>
              <a:ea typeface="TIMES"/>
              <a:cs typeface="TIMES"/>
            </a:rPr>
            <a:t>X</a:t>
          </a:r>
        </a:p>
      </xdr:txBody>
    </xdr:sp>
    <xdr:clientData/>
  </xdr:oneCellAnchor>
  <xdr:twoCellAnchor>
    <xdr:from>
      <xdr:col>3</xdr:col>
      <xdr:colOff>933450</xdr:colOff>
      <xdr:row>33</xdr:row>
      <xdr:rowOff>180975</xdr:rowOff>
    </xdr:from>
    <xdr:to>
      <xdr:col>7</xdr:col>
      <xdr:colOff>323850</xdr:colOff>
      <xdr:row>37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4419600" y="6953250"/>
          <a:ext cx="4295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6</xdr:col>
      <xdr:colOff>1476375</xdr:colOff>
      <xdr:row>39</xdr:row>
      <xdr:rowOff>114300</xdr:rowOff>
    </xdr:from>
    <xdr:to>
      <xdr:col>7</xdr:col>
      <xdr:colOff>561975</xdr:colOff>
      <xdr:row>40</xdr:row>
      <xdr:rowOff>123825</xdr:rowOff>
    </xdr:to>
    <xdr:sp>
      <xdr:nvSpPr>
        <xdr:cNvPr id="4" name="Line 6"/>
        <xdr:cNvSpPr>
          <a:spLocks/>
        </xdr:cNvSpPr>
      </xdr:nvSpPr>
      <xdr:spPr>
        <a:xfrm>
          <a:off x="8201025" y="8086725"/>
          <a:ext cx="7524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7</xdr:col>
      <xdr:colOff>533400</xdr:colOff>
      <xdr:row>40</xdr:row>
      <xdr:rowOff>114300</xdr:rowOff>
    </xdr:from>
    <xdr:to>
      <xdr:col>7</xdr:col>
      <xdr:colOff>790575</xdr:colOff>
      <xdr:row>42</xdr:row>
      <xdr:rowOff>142875</xdr:rowOff>
    </xdr:to>
    <xdr:sp>
      <xdr:nvSpPr>
        <xdr:cNvPr id="5" name="Line 7"/>
        <xdr:cNvSpPr>
          <a:spLocks/>
        </xdr:cNvSpPr>
      </xdr:nvSpPr>
      <xdr:spPr>
        <a:xfrm>
          <a:off x="8924925" y="8286750"/>
          <a:ext cx="2571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6</xdr:col>
      <xdr:colOff>9525</xdr:colOff>
      <xdr:row>61</xdr:row>
      <xdr:rowOff>114300</xdr:rowOff>
    </xdr:from>
    <xdr:to>
      <xdr:col>7</xdr:col>
      <xdr:colOff>180975</xdr:colOff>
      <xdr:row>61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6734175" y="1258252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6</xdr:col>
      <xdr:colOff>133350</xdr:colOff>
      <xdr:row>60</xdr:row>
      <xdr:rowOff>9525</xdr:rowOff>
    </xdr:from>
    <xdr:ext cx="1276350" cy="247650"/>
    <xdr:sp>
      <xdr:nvSpPr>
        <xdr:cNvPr id="7" name="Text 16"/>
        <xdr:cNvSpPr txBox="1">
          <a:spLocks noChangeArrowheads="1"/>
        </xdr:cNvSpPr>
      </xdr:nvSpPr>
      <xdr:spPr>
        <a:xfrm>
          <a:off x="6858000" y="12277725"/>
          <a:ext cx="1276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"/>
              <a:ea typeface="TIMES"/>
              <a:cs typeface="TIMES"/>
            </a:rPr>
            <a:t>Actual Price</a:t>
          </a:r>
        </a:p>
      </xdr:txBody>
    </xdr:sp>
    <xdr:clientData/>
  </xdr:oneCellAnchor>
  <xdr:oneCellAnchor>
    <xdr:from>
      <xdr:col>5</xdr:col>
      <xdr:colOff>962025</xdr:colOff>
      <xdr:row>61</xdr:row>
      <xdr:rowOff>180975</xdr:rowOff>
    </xdr:from>
    <xdr:ext cx="1438275" cy="285750"/>
    <xdr:sp>
      <xdr:nvSpPr>
        <xdr:cNvPr id="8" name="Text 17"/>
        <xdr:cNvSpPr txBox="1">
          <a:spLocks noChangeArrowheads="1"/>
        </xdr:cNvSpPr>
      </xdr:nvSpPr>
      <xdr:spPr>
        <a:xfrm>
          <a:off x="6724650" y="12649200"/>
          <a:ext cx="1438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"/>
              <a:ea typeface="TIMES"/>
              <a:cs typeface="TIMES"/>
            </a:rPr>
            <a:t>Established Price
</a:t>
          </a:r>
        </a:p>
      </xdr:txBody>
    </xdr:sp>
    <xdr:clientData/>
  </xdr:oneCellAnchor>
  <xdr:oneCellAnchor>
    <xdr:from>
      <xdr:col>5</xdr:col>
      <xdr:colOff>657225</xdr:colOff>
      <xdr:row>61</xdr:row>
      <xdr:rowOff>9525</xdr:rowOff>
    </xdr:from>
    <xdr:ext cx="257175" cy="257175"/>
    <xdr:sp>
      <xdr:nvSpPr>
        <xdr:cNvPr id="9" name="Text 18"/>
        <xdr:cNvSpPr txBox="1">
          <a:spLocks noChangeArrowheads="1"/>
        </xdr:cNvSpPr>
      </xdr:nvSpPr>
      <xdr:spPr>
        <a:xfrm>
          <a:off x="6419850" y="1247775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"/>
              <a:ea typeface="TIMES"/>
              <a:cs typeface="TIMES"/>
            </a:rPr>
            <a:t>X</a:t>
          </a:r>
        </a:p>
      </xdr:txBody>
    </xdr:sp>
    <xdr:clientData/>
  </xdr:oneCellAnchor>
  <xdr:twoCellAnchor>
    <xdr:from>
      <xdr:col>3</xdr:col>
      <xdr:colOff>952500</xdr:colOff>
      <xdr:row>59</xdr:row>
      <xdr:rowOff>123825</xdr:rowOff>
    </xdr:from>
    <xdr:to>
      <xdr:col>7</xdr:col>
      <xdr:colOff>428625</xdr:colOff>
      <xdr:row>63</xdr:row>
      <xdr:rowOff>123825</xdr:rowOff>
    </xdr:to>
    <xdr:sp>
      <xdr:nvSpPr>
        <xdr:cNvPr id="10" name="Rectangle 12"/>
        <xdr:cNvSpPr>
          <a:spLocks/>
        </xdr:cNvSpPr>
      </xdr:nvSpPr>
      <xdr:spPr>
        <a:xfrm>
          <a:off x="4438650" y="12192000"/>
          <a:ext cx="438150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6</xdr:col>
      <xdr:colOff>1485900</xdr:colOff>
      <xdr:row>65</xdr:row>
      <xdr:rowOff>133350</xdr:rowOff>
    </xdr:from>
    <xdr:to>
      <xdr:col>7</xdr:col>
      <xdr:colOff>561975</xdr:colOff>
      <xdr:row>66</xdr:row>
      <xdr:rowOff>190500</xdr:rowOff>
    </xdr:to>
    <xdr:sp>
      <xdr:nvSpPr>
        <xdr:cNvPr id="11" name="Line 13"/>
        <xdr:cNvSpPr>
          <a:spLocks/>
        </xdr:cNvSpPr>
      </xdr:nvSpPr>
      <xdr:spPr>
        <a:xfrm>
          <a:off x="8210550" y="13401675"/>
          <a:ext cx="7429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7</xdr:col>
      <xdr:colOff>561975</xdr:colOff>
      <xdr:row>66</xdr:row>
      <xdr:rowOff>180975</xdr:rowOff>
    </xdr:from>
    <xdr:to>
      <xdr:col>7</xdr:col>
      <xdr:colOff>819150</xdr:colOff>
      <xdr:row>68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8953500" y="13649325"/>
          <a:ext cx="25717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1200150</xdr:colOff>
      <xdr:row>95</xdr:row>
      <xdr:rowOff>0</xdr:rowOff>
    </xdr:from>
    <xdr:to>
      <xdr:col>6</xdr:col>
      <xdr:colOff>466725</xdr:colOff>
      <xdr:row>97</xdr:row>
      <xdr:rowOff>114300</xdr:rowOff>
    </xdr:to>
    <xdr:sp>
      <xdr:nvSpPr>
        <xdr:cNvPr id="13" name="Rectangle 15"/>
        <xdr:cNvSpPr>
          <a:spLocks/>
        </xdr:cNvSpPr>
      </xdr:nvSpPr>
      <xdr:spPr>
        <a:xfrm>
          <a:off x="1200150" y="19364325"/>
          <a:ext cx="59912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6</xdr:col>
      <xdr:colOff>476250</xdr:colOff>
      <xdr:row>91</xdr:row>
      <xdr:rowOff>142875</xdr:rowOff>
    </xdr:from>
    <xdr:to>
      <xdr:col>7</xdr:col>
      <xdr:colOff>304800</xdr:colOff>
      <xdr:row>95</xdr:row>
      <xdr:rowOff>38100</xdr:rowOff>
    </xdr:to>
    <xdr:sp>
      <xdr:nvSpPr>
        <xdr:cNvPr id="14" name="Line 16"/>
        <xdr:cNvSpPr>
          <a:spLocks/>
        </xdr:cNvSpPr>
      </xdr:nvSpPr>
      <xdr:spPr>
        <a:xfrm flipV="1">
          <a:off x="7200900" y="18707100"/>
          <a:ext cx="1495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</xdr:col>
      <xdr:colOff>428625</xdr:colOff>
      <xdr:row>95</xdr:row>
      <xdr:rowOff>47625</xdr:rowOff>
    </xdr:from>
    <xdr:ext cx="266700" cy="238125"/>
    <xdr:sp>
      <xdr:nvSpPr>
        <xdr:cNvPr id="15" name="TextBox 17"/>
        <xdr:cNvSpPr txBox="1">
          <a:spLocks noChangeArrowheads="1"/>
        </xdr:cNvSpPr>
      </xdr:nvSpPr>
      <xdr:spPr>
        <a:xfrm>
          <a:off x="3076575" y="194119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"/>
              <a:ea typeface="TIMES"/>
              <a:cs typeface="TIMES"/>
            </a:rPr>
            <a:t>X</a:t>
          </a:r>
        </a:p>
      </xdr:txBody>
    </xdr:sp>
    <xdr:clientData/>
  </xdr:oneCellAnchor>
  <xdr:oneCellAnchor>
    <xdr:from>
      <xdr:col>4</xdr:col>
      <xdr:colOff>504825</xdr:colOff>
      <xdr:row>95</xdr:row>
      <xdr:rowOff>76200</xdr:rowOff>
    </xdr:from>
    <xdr:ext cx="257175" cy="228600"/>
    <xdr:sp>
      <xdr:nvSpPr>
        <xdr:cNvPr id="16" name="TextBox 18"/>
        <xdr:cNvSpPr txBox="1">
          <a:spLocks noChangeArrowheads="1"/>
        </xdr:cNvSpPr>
      </xdr:nvSpPr>
      <xdr:spPr>
        <a:xfrm>
          <a:off x="5010150" y="194405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"/>
              <a:ea typeface="TIMES"/>
              <a:cs typeface="TIMES"/>
            </a:rPr>
            <a:t>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430"/>
  <sheetViews>
    <sheetView showGridLines="0" tabSelected="1" zoomScale="75" zoomScaleNormal="75" workbookViewId="0" topLeftCell="A1">
      <selection activeCell="A1" sqref="A1:I1"/>
    </sheetView>
  </sheetViews>
  <sheetFormatPr defaultColWidth="9.796875" defaultRowHeight="15"/>
  <cols>
    <col min="1" max="1" width="17.3984375" style="0" customWidth="1"/>
    <col min="2" max="2" width="9" style="0" customWidth="1"/>
    <col min="3" max="3" width="10.69921875" style="0" customWidth="1"/>
    <col min="4" max="4" width="12.69921875" style="0" customWidth="1"/>
    <col min="5" max="5" width="10.69921875" style="0" customWidth="1"/>
    <col min="6" max="7" width="11.69921875" style="0" customWidth="1"/>
    <col min="8" max="8" width="13.5" style="0" customWidth="1"/>
    <col min="9" max="9" width="12" style="0" customWidth="1"/>
  </cols>
  <sheetData>
    <row r="1" spans="1:14" ht="22.5">
      <c r="A1" s="198" t="s">
        <v>204</v>
      </c>
      <c r="B1" s="198"/>
      <c r="C1" s="198"/>
      <c r="D1" s="198"/>
      <c r="E1" s="198"/>
      <c r="F1" s="198"/>
      <c r="G1" s="198"/>
      <c r="H1" s="198"/>
      <c r="I1" s="198"/>
      <c r="J1" s="1"/>
      <c r="K1" s="1"/>
      <c r="N1" s="4"/>
    </row>
    <row r="2" spans="10:15" ht="15.75">
      <c r="J2" s="1"/>
      <c r="K2" s="1"/>
      <c r="N2" s="3"/>
      <c r="O2" s="3"/>
    </row>
    <row r="3" spans="1:15" ht="15.75">
      <c r="A3" s="8"/>
      <c r="B3" s="8"/>
      <c r="C3" s="8"/>
      <c r="D3" s="202" t="s">
        <v>228</v>
      </c>
      <c r="E3" s="8"/>
      <c r="F3" s="7"/>
      <c r="G3" s="8"/>
      <c r="H3" s="7"/>
      <c r="I3" s="7"/>
      <c r="J3" s="1"/>
      <c r="K3" s="1"/>
      <c r="O3" s="3"/>
    </row>
    <row r="4" spans="1:18" ht="15.75">
      <c r="A4" s="8"/>
      <c r="B4" s="8"/>
      <c r="C4" s="8"/>
      <c r="D4" s="8"/>
      <c r="E4" s="8"/>
      <c r="F4" s="8"/>
      <c r="G4" s="8"/>
      <c r="H4" s="7"/>
      <c r="I4" s="7"/>
      <c r="J4" s="1"/>
      <c r="K4" s="1"/>
      <c r="Q4" s="2"/>
      <c r="R4" s="2"/>
    </row>
    <row r="5" spans="1:18" ht="15.75">
      <c r="A5" s="7"/>
      <c r="B5" s="7"/>
      <c r="C5" s="7"/>
      <c r="D5" s="7"/>
      <c r="E5" s="10" t="s">
        <v>0</v>
      </c>
      <c r="F5" s="10" t="s">
        <v>1</v>
      </c>
      <c r="G5" s="10" t="s">
        <v>2</v>
      </c>
      <c r="H5" s="10" t="s">
        <v>3</v>
      </c>
      <c r="I5" s="10" t="s">
        <v>3</v>
      </c>
      <c r="J5" s="1"/>
      <c r="K5" s="1"/>
      <c r="Q5" s="2"/>
      <c r="R5" s="2"/>
    </row>
    <row r="6" spans="1:15" ht="15.75">
      <c r="A6" s="6" t="s">
        <v>4</v>
      </c>
      <c r="B6" s="7"/>
      <c r="C6" s="7"/>
      <c r="D6" s="7"/>
      <c r="E6" s="10" t="s">
        <v>5</v>
      </c>
      <c r="F6" s="10" t="s">
        <v>6</v>
      </c>
      <c r="G6" s="10" t="s">
        <v>7</v>
      </c>
      <c r="H6" s="10" t="s">
        <v>8</v>
      </c>
      <c r="I6" s="10" t="s">
        <v>7</v>
      </c>
      <c r="J6" s="1"/>
      <c r="K6" s="1"/>
      <c r="N6" s="3"/>
      <c r="O6" s="3"/>
    </row>
    <row r="7" spans="1:11" ht="15.75">
      <c r="A7" s="6" t="s">
        <v>9</v>
      </c>
      <c r="B7" s="7"/>
      <c r="C7" s="7"/>
      <c r="D7" s="7"/>
      <c r="E7" s="10" t="s">
        <v>3</v>
      </c>
      <c r="F7" s="10" t="s">
        <v>10</v>
      </c>
      <c r="G7" s="10" t="s">
        <v>11</v>
      </c>
      <c r="H7" s="10" t="s">
        <v>11</v>
      </c>
      <c r="I7" s="10" t="s">
        <v>11</v>
      </c>
      <c r="J7" s="1"/>
      <c r="K7" s="1"/>
    </row>
    <row r="8" spans="1:15" ht="15.75">
      <c r="A8" s="9" t="s">
        <v>12</v>
      </c>
      <c r="B8" s="11"/>
      <c r="C8" s="11"/>
      <c r="D8" s="11"/>
      <c r="E8" s="12"/>
      <c r="F8" s="12"/>
      <c r="G8" s="12"/>
      <c r="H8" s="12"/>
      <c r="I8" s="12"/>
      <c r="J8" s="5"/>
      <c r="K8" s="1"/>
      <c r="N8" s="3"/>
      <c r="O8" s="3"/>
    </row>
    <row r="9" spans="1:11" ht="15.75">
      <c r="A9" s="6" t="s">
        <v>13</v>
      </c>
      <c r="B9" s="7"/>
      <c r="C9" s="7"/>
      <c r="D9" s="7"/>
      <c r="E9" s="13">
        <v>600000</v>
      </c>
      <c r="F9" s="14">
        <v>0.05</v>
      </c>
      <c r="G9" s="14">
        <v>1</v>
      </c>
      <c r="H9" s="165">
        <f aca="true" t="shared" si="0" ref="H9:H14">E9*F9*(1-G9)</f>
        <v>0</v>
      </c>
      <c r="I9" s="165">
        <f aca="true" t="shared" si="1" ref="I9:I14">E9*F9*G9</f>
        <v>30000</v>
      </c>
      <c r="J9" s="5"/>
      <c r="K9" s="1"/>
    </row>
    <row r="10" spans="1:15" ht="15.75">
      <c r="A10" s="6" t="s">
        <v>14</v>
      </c>
      <c r="B10" s="7"/>
      <c r="C10" s="7"/>
      <c r="D10" s="7"/>
      <c r="E10" s="13">
        <v>0</v>
      </c>
      <c r="F10" s="14">
        <v>0.05</v>
      </c>
      <c r="G10" s="14">
        <v>1</v>
      </c>
      <c r="H10" s="165">
        <f t="shared" si="0"/>
        <v>0</v>
      </c>
      <c r="I10" s="165">
        <f t="shared" si="1"/>
        <v>0</v>
      </c>
      <c r="J10" s="5"/>
      <c r="K10" s="1"/>
      <c r="N10" s="3"/>
      <c r="O10" s="3"/>
    </row>
    <row r="11" spans="1:11" ht="15.75">
      <c r="A11" s="6" t="s">
        <v>15</v>
      </c>
      <c r="B11" s="7"/>
      <c r="C11" s="7"/>
      <c r="D11" s="7"/>
      <c r="E11" s="13">
        <v>145000</v>
      </c>
      <c r="F11" s="14">
        <v>0.05</v>
      </c>
      <c r="G11" s="14">
        <v>0</v>
      </c>
      <c r="H11" s="165">
        <f t="shared" si="0"/>
        <v>7250</v>
      </c>
      <c r="I11" s="165">
        <f t="shared" si="1"/>
        <v>0</v>
      </c>
      <c r="J11" s="5"/>
      <c r="K11" s="1"/>
    </row>
    <row r="12" spans="1:15" ht="15.75">
      <c r="A12" s="6" t="s">
        <v>16</v>
      </c>
      <c r="B12" s="7"/>
      <c r="C12" s="7"/>
      <c r="D12" s="7"/>
      <c r="E12" s="13">
        <v>25000</v>
      </c>
      <c r="F12" s="14">
        <v>0.05</v>
      </c>
      <c r="G12" s="14">
        <v>0</v>
      </c>
      <c r="H12" s="165">
        <f t="shared" si="0"/>
        <v>1250</v>
      </c>
      <c r="I12" s="165">
        <f t="shared" si="1"/>
        <v>0</v>
      </c>
      <c r="J12" s="5"/>
      <c r="K12" s="1"/>
      <c r="N12" s="3"/>
      <c r="O12" s="3"/>
    </row>
    <row r="13" spans="1:11" ht="15.75">
      <c r="A13" s="6" t="s">
        <v>17</v>
      </c>
      <c r="B13" s="7"/>
      <c r="C13" s="7"/>
      <c r="D13" s="7"/>
      <c r="E13" s="13">
        <v>0</v>
      </c>
      <c r="F13" s="14">
        <v>0</v>
      </c>
      <c r="G13" s="14">
        <v>0</v>
      </c>
      <c r="H13" s="165">
        <f t="shared" si="0"/>
        <v>0</v>
      </c>
      <c r="I13" s="165">
        <f t="shared" si="1"/>
        <v>0</v>
      </c>
      <c r="J13" s="5"/>
      <c r="K13" s="1"/>
    </row>
    <row r="14" spans="1:15" ht="15.75">
      <c r="A14" s="6" t="s">
        <v>18</v>
      </c>
      <c r="B14" s="7"/>
      <c r="C14" s="7"/>
      <c r="D14" s="7"/>
      <c r="E14" s="13">
        <v>0</v>
      </c>
      <c r="F14" s="14">
        <v>0</v>
      </c>
      <c r="G14" s="14">
        <v>0</v>
      </c>
      <c r="H14" s="165">
        <f t="shared" si="0"/>
        <v>0</v>
      </c>
      <c r="I14" s="165">
        <f t="shared" si="1"/>
        <v>0</v>
      </c>
      <c r="J14" s="5"/>
      <c r="K14" s="1"/>
      <c r="N14" s="3"/>
      <c r="O14" s="3"/>
    </row>
    <row r="15" spans="1:11" ht="15.75">
      <c r="A15" s="9" t="s">
        <v>19</v>
      </c>
      <c r="B15" s="11"/>
      <c r="C15" s="11"/>
      <c r="D15" s="11"/>
      <c r="E15" s="11"/>
      <c r="F15" s="12"/>
      <c r="G15" s="12"/>
      <c r="H15" s="166">
        <f>SUM(H8:H14)</f>
        <v>8500</v>
      </c>
      <c r="I15" s="166">
        <f>SUM(I8:I14)</f>
        <v>30000</v>
      </c>
      <c r="J15" s="5"/>
      <c r="K15" s="1"/>
    </row>
    <row r="16" spans="1:15" ht="15.75">
      <c r="A16" s="7"/>
      <c r="B16" s="7"/>
      <c r="C16" s="7"/>
      <c r="D16" s="7"/>
      <c r="E16" s="7"/>
      <c r="F16" s="15"/>
      <c r="G16" s="15"/>
      <c r="H16" s="165"/>
      <c r="I16" s="165"/>
      <c r="J16" s="5"/>
      <c r="K16" s="1"/>
      <c r="N16" s="3"/>
      <c r="O16" s="3"/>
    </row>
    <row r="17" spans="1:11" ht="15.75">
      <c r="A17" s="6" t="s">
        <v>20</v>
      </c>
      <c r="B17" s="7"/>
      <c r="C17" s="7"/>
      <c r="D17" s="7"/>
      <c r="E17" s="7"/>
      <c r="F17" s="16" t="s">
        <v>5</v>
      </c>
      <c r="G17" s="15"/>
      <c r="H17" s="165"/>
      <c r="I17" s="165"/>
      <c r="J17" s="5"/>
      <c r="K17" s="1"/>
    </row>
    <row r="18" spans="1:15" ht="15.75">
      <c r="A18" s="6" t="s">
        <v>21</v>
      </c>
      <c r="B18" s="7"/>
      <c r="C18" s="7"/>
      <c r="D18" s="7"/>
      <c r="E18" s="7"/>
      <c r="F18" s="17" t="s">
        <v>22</v>
      </c>
      <c r="G18" s="15"/>
      <c r="H18" s="165"/>
      <c r="I18" s="165"/>
      <c r="J18" s="5"/>
      <c r="K18" s="1"/>
      <c r="N18" s="3"/>
      <c r="O18" s="3"/>
    </row>
    <row r="19" spans="1:15" ht="15.75">
      <c r="A19" s="6" t="s">
        <v>13</v>
      </c>
      <c r="B19" s="7"/>
      <c r="C19" s="7"/>
      <c r="D19" s="7"/>
      <c r="E19" s="7"/>
      <c r="F19" s="13">
        <v>1000</v>
      </c>
      <c r="G19" s="14">
        <v>1</v>
      </c>
      <c r="H19" s="165">
        <f>F19*(1-G19)</f>
        <v>0</v>
      </c>
      <c r="I19" s="165">
        <f>F19*G19</f>
        <v>1000</v>
      </c>
      <c r="J19" s="5"/>
      <c r="K19" s="1"/>
      <c r="O19" s="3"/>
    </row>
    <row r="20" spans="1:15" ht="15.75">
      <c r="A20" s="6" t="s">
        <v>23</v>
      </c>
      <c r="B20" s="7"/>
      <c r="C20" s="7"/>
      <c r="D20" s="7"/>
      <c r="E20" s="7"/>
      <c r="F20" s="13">
        <v>0</v>
      </c>
      <c r="G20" s="14">
        <v>0</v>
      </c>
      <c r="H20" s="165">
        <f>F20*(1-G20)</f>
        <v>0</v>
      </c>
      <c r="I20" s="165">
        <f>F20*G20</f>
        <v>0</v>
      </c>
      <c r="J20" s="5"/>
      <c r="K20" s="1"/>
      <c r="O20" s="3"/>
    </row>
    <row r="21" spans="1:15" ht="15.75">
      <c r="A21" s="6" t="s">
        <v>24</v>
      </c>
      <c r="B21" s="7"/>
      <c r="C21" s="7"/>
      <c r="D21" s="7"/>
      <c r="E21" s="7"/>
      <c r="F21" s="13">
        <v>17000</v>
      </c>
      <c r="G21" s="14">
        <v>0</v>
      </c>
      <c r="H21" s="165">
        <f>F21*(1-G21)</f>
        <v>17000</v>
      </c>
      <c r="I21" s="165">
        <f>F21*G21</f>
        <v>0</v>
      </c>
      <c r="J21" s="5"/>
      <c r="K21" s="1"/>
      <c r="O21" s="3"/>
    </row>
    <row r="22" spans="1:15" ht="15.75">
      <c r="A22" s="6" t="s">
        <v>25</v>
      </c>
      <c r="B22" s="7"/>
      <c r="C22" s="7"/>
      <c r="D22" s="7"/>
      <c r="E22" s="7"/>
      <c r="F22" s="13">
        <v>0</v>
      </c>
      <c r="G22" s="14">
        <v>0</v>
      </c>
      <c r="H22" s="165">
        <f>F22*(1-G22)</f>
        <v>0</v>
      </c>
      <c r="I22" s="165">
        <f>F22*G22</f>
        <v>0</v>
      </c>
      <c r="J22" s="5"/>
      <c r="K22" s="1"/>
      <c r="O22" s="3"/>
    </row>
    <row r="23" spans="1:15" ht="15.75">
      <c r="A23" s="6" t="s">
        <v>26</v>
      </c>
      <c r="B23" s="7"/>
      <c r="C23" s="7"/>
      <c r="D23" s="7"/>
      <c r="E23" s="7"/>
      <c r="F23" s="13">
        <v>0</v>
      </c>
      <c r="G23" s="14">
        <v>0</v>
      </c>
      <c r="H23" s="165">
        <f>F23*(1-G23)</f>
        <v>0</v>
      </c>
      <c r="I23" s="165">
        <f>F23*G23</f>
        <v>0</v>
      </c>
      <c r="J23" s="5"/>
      <c r="K23" s="1"/>
      <c r="O23" s="3"/>
    </row>
    <row r="24" spans="1:15" ht="15.75">
      <c r="A24" s="7"/>
      <c r="B24" s="7"/>
      <c r="C24" s="7"/>
      <c r="D24" s="7"/>
      <c r="E24" s="7"/>
      <c r="F24" s="15"/>
      <c r="G24" s="14"/>
      <c r="H24" s="165"/>
      <c r="I24" s="165"/>
      <c r="J24" s="5"/>
      <c r="K24" s="1"/>
      <c r="O24" s="3"/>
    </row>
    <row r="25" spans="1:15" ht="15.75">
      <c r="A25" s="7"/>
      <c r="B25" s="7"/>
      <c r="C25" s="7"/>
      <c r="D25" s="7"/>
      <c r="E25" s="7"/>
      <c r="F25" s="16" t="s">
        <v>5</v>
      </c>
      <c r="G25" s="15"/>
      <c r="H25" s="165"/>
      <c r="I25" s="165"/>
      <c r="J25" s="5"/>
      <c r="K25" s="1"/>
      <c r="O25" s="3"/>
    </row>
    <row r="26" spans="1:15" ht="15.75">
      <c r="A26" s="6" t="s">
        <v>27</v>
      </c>
      <c r="B26" s="7"/>
      <c r="C26" s="7"/>
      <c r="D26" s="7"/>
      <c r="E26" s="7"/>
      <c r="F26" s="17" t="s">
        <v>28</v>
      </c>
      <c r="G26" s="15"/>
      <c r="H26" s="165"/>
      <c r="I26" s="165"/>
      <c r="J26" s="5"/>
      <c r="K26" s="1"/>
      <c r="O26" s="3"/>
    </row>
    <row r="27" spans="1:11" ht="15.75">
      <c r="A27" s="6" t="s">
        <v>13</v>
      </c>
      <c r="B27" s="7"/>
      <c r="C27" s="7"/>
      <c r="D27" s="7"/>
      <c r="E27" s="7"/>
      <c r="F27" s="13">
        <v>3200</v>
      </c>
      <c r="G27" s="14">
        <v>1</v>
      </c>
      <c r="H27" s="165">
        <f aca="true" t="shared" si="2" ref="H27:H32">F27*(1-G27)</f>
        <v>0</v>
      </c>
      <c r="I27" s="165">
        <f aca="true" t="shared" si="3" ref="I27:I32">F27*G27</f>
        <v>3200</v>
      </c>
      <c r="J27" s="5"/>
      <c r="K27" s="1"/>
    </row>
    <row r="28" spans="1:11" ht="15.75">
      <c r="A28" s="6" t="s">
        <v>23</v>
      </c>
      <c r="B28" s="7"/>
      <c r="C28" s="7"/>
      <c r="D28" s="7"/>
      <c r="E28" s="7"/>
      <c r="F28" s="13">
        <v>0</v>
      </c>
      <c r="G28" s="14">
        <v>0</v>
      </c>
      <c r="H28" s="165">
        <f t="shared" si="2"/>
        <v>0</v>
      </c>
      <c r="I28" s="165">
        <f t="shared" si="3"/>
        <v>0</v>
      </c>
      <c r="J28" s="5"/>
      <c r="K28" s="1"/>
    </row>
    <row r="29" spans="1:15" ht="15.75">
      <c r="A29" s="6" t="s">
        <v>24</v>
      </c>
      <c r="B29" s="7"/>
      <c r="C29" s="7"/>
      <c r="D29" s="7"/>
      <c r="E29" s="7"/>
      <c r="F29" s="13">
        <v>2500</v>
      </c>
      <c r="G29" s="14">
        <v>0</v>
      </c>
      <c r="H29" s="165">
        <f t="shared" si="2"/>
        <v>2500</v>
      </c>
      <c r="I29" s="165">
        <f t="shared" si="3"/>
        <v>0</v>
      </c>
      <c r="J29" s="5"/>
      <c r="K29" s="1"/>
      <c r="N29" s="3"/>
      <c r="O29" s="3"/>
    </row>
    <row r="30" spans="1:15" ht="15.75">
      <c r="A30" s="6" t="s">
        <v>25</v>
      </c>
      <c r="B30" s="7"/>
      <c r="C30" s="7"/>
      <c r="D30" s="7"/>
      <c r="E30" s="7"/>
      <c r="F30" s="13">
        <v>0</v>
      </c>
      <c r="G30" s="14">
        <v>0</v>
      </c>
      <c r="H30" s="165">
        <f t="shared" si="2"/>
        <v>0</v>
      </c>
      <c r="I30" s="165">
        <f t="shared" si="3"/>
        <v>0</v>
      </c>
      <c r="J30" s="5"/>
      <c r="K30" s="1"/>
      <c r="O30" s="3"/>
    </row>
    <row r="31" spans="1:15" ht="15.75">
      <c r="A31" s="6" t="s">
        <v>17</v>
      </c>
      <c r="B31" s="7"/>
      <c r="C31" s="7"/>
      <c r="D31" s="7"/>
      <c r="E31" s="7"/>
      <c r="F31" s="13">
        <v>0</v>
      </c>
      <c r="G31" s="14">
        <v>0</v>
      </c>
      <c r="H31" s="165">
        <f t="shared" si="2"/>
        <v>0</v>
      </c>
      <c r="I31" s="165">
        <f t="shared" si="3"/>
        <v>0</v>
      </c>
      <c r="J31" s="5"/>
      <c r="K31" s="1"/>
      <c r="O31" s="3"/>
    </row>
    <row r="32" spans="1:15" ht="15.75">
      <c r="A32" s="6" t="s">
        <v>29</v>
      </c>
      <c r="B32" s="7"/>
      <c r="C32" s="7"/>
      <c r="D32" s="7"/>
      <c r="E32" s="7"/>
      <c r="F32" s="13">
        <v>0</v>
      </c>
      <c r="G32" s="14">
        <v>0</v>
      </c>
      <c r="H32" s="165">
        <f t="shared" si="2"/>
        <v>0</v>
      </c>
      <c r="I32" s="165">
        <f t="shared" si="3"/>
        <v>0</v>
      </c>
      <c r="J32" s="5"/>
      <c r="K32" s="1"/>
      <c r="O32" s="3"/>
    </row>
    <row r="33" spans="1:11" ht="15.75">
      <c r="A33" s="7"/>
      <c r="B33" s="7"/>
      <c r="C33" s="7"/>
      <c r="D33" s="7"/>
      <c r="E33" s="7"/>
      <c r="F33" s="15"/>
      <c r="G33" s="15"/>
      <c r="H33" s="165"/>
      <c r="I33" s="165"/>
      <c r="J33" s="5"/>
      <c r="K33" s="1"/>
    </row>
    <row r="34" spans="1:11" ht="15.75">
      <c r="A34" s="7"/>
      <c r="B34" s="7"/>
      <c r="C34" s="7"/>
      <c r="D34" s="7"/>
      <c r="E34" s="7"/>
      <c r="F34" s="16" t="s">
        <v>5</v>
      </c>
      <c r="G34" s="15"/>
      <c r="H34" s="165"/>
      <c r="I34" s="165"/>
      <c r="J34" s="5"/>
      <c r="K34" s="1"/>
    </row>
    <row r="35" spans="1:15" ht="15.75">
      <c r="A35" s="6" t="s">
        <v>30</v>
      </c>
      <c r="B35" s="7"/>
      <c r="C35" s="7"/>
      <c r="D35" s="7"/>
      <c r="E35" s="7"/>
      <c r="F35" s="17" t="s">
        <v>31</v>
      </c>
      <c r="G35" s="15"/>
      <c r="H35" s="165"/>
      <c r="I35" s="165"/>
      <c r="J35" s="5"/>
      <c r="K35" s="1"/>
      <c r="N35" s="3"/>
      <c r="O35" s="3"/>
    </row>
    <row r="36" spans="1:11" ht="15.75">
      <c r="A36" s="6" t="s">
        <v>13</v>
      </c>
      <c r="B36" s="7"/>
      <c r="C36" s="7"/>
      <c r="D36" s="7"/>
      <c r="E36" s="7"/>
      <c r="F36" s="13">
        <v>1200</v>
      </c>
      <c r="G36" s="14">
        <v>1</v>
      </c>
      <c r="H36" s="165">
        <f aca="true" t="shared" si="4" ref="H36:H41">F36*(1-G36)</f>
        <v>0</v>
      </c>
      <c r="I36" s="165">
        <f aca="true" t="shared" si="5" ref="I36:I41">F36*G36</f>
        <v>1200</v>
      </c>
      <c r="J36" s="5"/>
      <c r="K36" s="1"/>
    </row>
    <row r="37" spans="1:17" ht="15.75">
      <c r="A37" s="6" t="s">
        <v>23</v>
      </c>
      <c r="B37" s="7"/>
      <c r="C37" s="7"/>
      <c r="D37" s="7"/>
      <c r="E37" s="7"/>
      <c r="F37" s="13">
        <v>0</v>
      </c>
      <c r="G37" s="14">
        <v>0</v>
      </c>
      <c r="H37" s="165">
        <f t="shared" si="4"/>
        <v>0</v>
      </c>
      <c r="I37" s="165">
        <f t="shared" si="5"/>
        <v>0</v>
      </c>
      <c r="J37" s="5"/>
      <c r="K37" s="1"/>
      <c r="N37" s="2"/>
      <c r="O37" s="2"/>
      <c r="P37" s="2"/>
      <c r="Q37" s="2"/>
    </row>
    <row r="38" spans="1:17" ht="15.75">
      <c r="A38" s="6" t="s">
        <v>24</v>
      </c>
      <c r="B38" s="7"/>
      <c r="C38" s="7"/>
      <c r="D38" s="7"/>
      <c r="E38" s="7"/>
      <c r="F38" s="13">
        <v>1100</v>
      </c>
      <c r="G38" s="14">
        <v>0</v>
      </c>
      <c r="H38" s="165">
        <f t="shared" si="4"/>
        <v>1100</v>
      </c>
      <c r="I38" s="165">
        <f t="shared" si="5"/>
        <v>0</v>
      </c>
      <c r="J38" s="5"/>
      <c r="K38" s="1"/>
      <c r="N38" s="2"/>
      <c r="O38" s="2"/>
      <c r="P38" s="2"/>
      <c r="Q38" s="2"/>
    </row>
    <row r="39" spans="1:17" ht="15.75">
      <c r="A39" s="6" t="s">
        <v>25</v>
      </c>
      <c r="B39" s="7"/>
      <c r="C39" s="7"/>
      <c r="D39" s="7"/>
      <c r="E39" s="7"/>
      <c r="F39" s="13">
        <v>0</v>
      </c>
      <c r="G39" s="14">
        <v>0</v>
      </c>
      <c r="H39" s="165">
        <f t="shared" si="4"/>
        <v>0</v>
      </c>
      <c r="I39" s="165">
        <f t="shared" si="5"/>
        <v>0</v>
      </c>
      <c r="J39" s="5"/>
      <c r="K39" s="1"/>
      <c r="N39" s="2"/>
      <c r="O39" s="2"/>
      <c r="P39" s="2"/>
      <c r="Q39" s="2"/>
    </row>
    <row r="40" spans="1:17" ht="15.75">
      <c r="A40" s="6" t="s">
        <v>17</v>
      </c>
      <c r="B40" s="7"/>
      <c r="C40" s="7"/>
      <c r="D40" s="7"/>
      <c r="E40" s="7"/>
      <c r="F40" s="13">
        <v>0</v>
      </c>
      <c r="G40" s="14">
        <v>0</v>
      </c>
      <c r="H40" s="165">
        <f t="shared" si="4"/>
        <v>0</v>
      </c>
      <c r="I40" s="165">
        <f t="shared" si="5"/>
        <v>0</v>
      </c>
      <c r="J40" s="5"/>
      <c r="K40" s="1"/>
      <c r="N40" s="2"/>
      <c r="O40" s="2"/>
      <c r="P40" s="2"/>
      <c r="Q40" s="2"/>
    </row>
    <row r="41" spans="1:17" ht="15.75">
      <c r="A41" s="6" t="s">
        <v>32</v>
      </c>
      <c r="B41" s="7"/>
      <c r="C41" s="7"/>
      <c r="D41" s="7"/>
      <c r="E41" s="7"/>
      <c r="F41" s="13">
        <v>0</v>
      </c>
      <c r="G41" s="14">
        <v>0</v>
      </c>
      <c r="H41" s="165">
        <f t="shared" si="4"/>
        <v>0</v>
      </c>
      <c r="I41" s="165">
        <f t="shared" si="5"/>
        <v>0</v>
      </c>
      <c r="J41" s="5"/>
      <c r="K41" s="1"/>
      <c r="N41" s="2"/>
      <c r="O41" s="2"/>
      <c r="P41" s="2"/>
      <c r="Q41" s="2"/>
    </row>
    <row r="42" spans="1:17" ht="15.75">
      <c r="A42" s="7"/>
      <c r="B42" s="7"/>
      <c r="C42" s="7"/>
      <c r="D42" s="7"/>
      <c r="E42" s="7"/>
      <c r="F42" s="15"/>
      <c r="G42" s="15"/>
      <c r="H42" s="165"/>
      <c r="I42" s="165"/>
      <c r="J42" s="5"/>
      <c r="K42" s="1"/>
      <c r="N42" s="2"/>
      <c r="O42" s="2"/>
      <c r="P42" s="2"/>
      <c r="Q42" s="2"/>
    </row>
    <row r="43" spans="1:17" ht="15.75">
      <c r="A43" s="6" t="s">
        <v>33</v>
      </c>
      <c r="B43" s="7"/>
      <c r="C43" s="7"/>
      <c r="D43" s="7"/>
      <c r="E43" s="7"/>
      <c r="F43" s="11"/>
      <c r="G43" s="11"/>
      <c r="H43" s="18">
        <f>SUM(H15:H42)</f>
        <v>29100</v>
      </c>
      <c r="I43" s="18">
        <f>SUM(I15:I42)</f>
        <v>35400</v>
      </c>
      <c r="J43" s="5"/>
      <c r="K43" s="1"/>
      <c r="N43" s="2"/>
      <c r="O43" s="2"/>
      <c r="P43" s="2"/>
      <c r="Q43" s="2"/>
    </row>
    <row r="44" spans="1:17" ht="15.75">
      <c r="A44" s="6" t="s">
        <v>34</v>
      </c>
      <c r="B44" s="7"/>
      <c r="C44" s="7"/>
      <c r="D44" s="7"/>
      <c r="E44" s="7"/>
      <c r="F44" s="7"/>
      <c r="G44" s="7"/>
      <c r="H44" s="11"/>
      <c r="I44" s="11"/>
      <c r="J44" s="1"/>
      <c r="K44" s="1"/>
      <c r="N44" s="2"/>
      <c r="O44" s="2"/>
      <c r="P44" s="2"/>
      <c r="Q44" s="2"/>
    </row>
    <row r="45" spans="1:11" ht="15.75">
      <c r="A45" s="7"/>
      <c r="B45" s="7"/>
      <c r="C45" s="7"/>
      <c r="D45" s="7"/>
      <c r="E45" s="7"/>
      <c r="F45" s="7"/>
      <c r="G45" s="7"/>
      <c r="H45" s="7"/>
      <c r="I45" s="7"/>
      <c r="J45" s="1"/>
      <c r="K45" s="1"/>
    </row>
    <row r="46" spans="1:11" ht="15.75">
      <c r="A46" s="168" t="s">
        <v>205</v>
      </c>
      <c r="B46" s="7"/>
      <c r="C46" s="7"/>
      <c r="D46" s="7"/>
      <c r="E46" s="7"/>
      <c r="F46" s="7"/>
      <c r="G46" s="7"/>
      <c r="H46" s="7"/>
      <c r="I46" s="7"/>
      <c r="J46" s="1"/>
      <c r="K46" s="1"/>
    </row>
    <row r="47" spans="1:11" ht="15.75">
      <c r="A47" s="6" t="s">
        <v>35</v>
      </c>
      <c r="B47" s="7"/>
      <c r="C47" s="7"/>
      <c r="D47" s="7"/>
      <c r="E47" s="7"/>
      <c r="F47" s="7"/>
      <c r="G47" s="7"/>
      <c r="H47" s="7"/>
      <c r="I47" s="7"/>
      <c r="J47" s="1"/>
      <c r="K47" s="1"/>
    </row>
    <row r="48" spans="1:11" ht="15.75">
      <c r="A48" s="6" t="s">
        <v>36</v>
      </c>
      <c r="B48" s="7"/>
      <c r="C48" s="7"/>
      <c r="D48" s="7"/>
      <c r="E48" s="7"/>
      <c r="F48" s="7"/>
      <c r="G48" s="7"/>
      <c r="H48" s="7"/>
      <c r="I48" s="7"/>
      <c r="J48" s="1"/>
      <c r="K48" s="1"/>
    </row>
    <row r="49" spans="1:11" ht="15.75">
      <c r="A49" s="6" t="s">
        <v>37</v>
      </c>
      <c r="B49" s="7"/>
      <c r="C49" s="7"/>
      <c r="D49" s="7"/>
      <c r="E49" s="7"/>
      <c r="F49" s="7"/>
      <c r="G49" s="7"/>
      <c r="H49" s="7"/>
      <c r="I49" s="7"/>
      <c r="J49" s="1"/>
      <c r="K49" s="1"/>
    </row>
    <row r="50" spans="1:11" ht="15.75">
      <c r="A50" s="6" t="s">
        <v>203</v>
      </c>
      <c r="B50" s="7"/>
      <c r="C50" s="7"/>
      <c r="D50" s="7"/>
      <c r="E50" s="7"/>
      <c r="F50" s="7"/>
      <c r="G50" s="7"/>
      <c r="H50" s="7"/>
      <c r="I50" s="7"/>
      <c r="J50" s="1"/>
      <c r="K50" s="1"/>
    </row>
    <row r="51" spans="1:11" ht="15.75">
      <c r="A51" s="6"/>
      <c r="B51" s="7"/>
      <c r="C51" s="7"/>
      <c r="D51" s="7"/>
      <c r="E51" s="7"/>
      <c r="F51" s="7"/>
      <c r="G51" s="7"/>
      <c r="H51" s="7"/>
      <c r="I51" s="7"/>
      <c r="J51" s="1"/>
      <c r="K51" s="1"/>
    </row>
    <row r="52" spans="1:11" ht="15.75">
      <c r="A52" s="8"/>
      <c r="B52" s="7"/>
      <c r="C52" s="7"/>
      <c r="D52" s="7"/>
      <c r="E52" s="7"/>
      <c r="F52" s="7"/>
      <c r="G52" s="7"/>
      <c r="H52" s="7"/>
      <c r="I52" s="7"/>
      <c r="J52" s="1"/>
      <c r="K52" s="1"/>
    </row>
    <row r="53" spans="1:11" ht="15.75">
      <c r="A53" s="6" t="s">
        <v>38</v>
      </c>
      <c r="B53" s="7"/>
      <c r="C53" s="7"/>
      <c r="D53" s="7"/>
      <c r="E53" s="7"/>
      <c r="F53" s="7"/>
      <c r="G53" s="7"/>
      <c r="H53" s="10" t="s">
        <v>5</v>
      </c>
      <c r="I53" s="7"/>
      <c r="J53" s="1"/>
      <c r="K53" s="1"/>
    </row>
    <row r="54" spans="1:11" ht="15.75">
      <c r="A54" s="7"/>
      <c r="B54" s="19" t="s">
        <v>39</v>
      </c>
      <c r="C54" s="20" t="s">
        <v>40</v>
      </c>
      <c r="D54" s="11"/>
      <c r="E54" s="20" t="s">
        <v>41</v>
      </c>
      <c r="F54" s="20" t="s">
        <v>42</v>
      </c>
      <c r="G54" s="20" t="s">
        <v>42</v>
      </c>
      <c r="H54" s="16" t="s">
        <v>43</v>
      </c>
      <c r="I54" s="7"/>
      <c r="J54" s="1"/>
      <c r="K54" s="1"/>
    </row>
    <row r="55" spans="1:11" ht="16.5" thickBot="1">
      <c r="A55" s="7"/>
      <c r="B55" s="16" t="s">
        <v>44</v>
      </c>
      <c r="C55" s="10" t="s">
        <v>44</v>
      </c>
      <c r="D55" s="10" t="s">
        <v>45</v>
      </c>
      <c r="E55" s="10" t="s">
        <v>46</v>
      </c>
      <c r="F55" s="21" t="s">
        <v>47</v>
      </c>
      <c r="G55" s="10" t="s">
        <v>48</v>
      </c>
      <c r="H55" s="16" t="s">
        <v>49</v>
      </c>
      <c r="I55" s="7"/>
      <c r="J55" s="1"/>
      <c r="K55" s="1"/>
    </row>
    <row r="56" spans="1:11" ht="16.5" thickTop="1">
      <c r="A56" s="6" t="s">
        <v>50</v>
      </c>
      <c r="B56" s="22">
        <v>500</v>
      </c>
      <c r="C56" s="23">
        <v>100</v>
      </c>
      <c r="D56" s="23">
        <v>100</v>
      </c>
      <c r="E56" s="23">
        <v>700</v>
      </c>
      <c r="F56" s="23">
        <v>100</v>
      </c>
      <c r="G56" s="23">
        <v>0</v>
      </c>
      <c r="H56" s="15">
        <f>SUM(B56:G56)</f>
        <v>1500</v>
      </c>
      <c r="I56" s="7"/>
      <c r="J56" s="1"/>
      <c r="K56" s="1"/>
    </row>
    <row r="57" spans="1:11" ht="15.75">
      <c r="A57" s="6" t="s">
        <v>51</v>
      </c>
      <c r="B57" s="24">
        <v>30</v>
      </c>
      <c r="C57" s="25">
        <v>34</v>
      </c>
      <c r="D57" s="25">
        <v>44</v>
      </c>
      <c r="E57" s="47"/>
      <c r="F57" s="25">
        <v>1000</v>
      </c>
      <c r="G57" s="25">
        <v>0</v>
      </c>
      <c r="H57" s="15"/>
      <c r="I57" s="7"/>
      <c r="J57" s="1"/>
      <c r="K57" s="1"/>
    </row>
    <row r="58" spans="1:11" ht="15.75">
      <c r="A58" s="6" t="s">
        <v>52</v>
      </c>
      <c r="B58" s="26">
        <v>4</v>
      </c>
      <c r="C58" s="27">
        <v>4.1</v>
      </c>
      <c r="D58" s="27">
        <v>3.5</v>
      </c>
      <c r="E58" s="48"/>
      <c r="F58" s="27">
        <v>0.09</v>
      </c>
      <c r="G58" s="27">
        <v>0</v>
      </c>
      <c r="H58" s="16" t="s">
        <v>5</v>
      </c>
      <c r="I58" s="7"/>
      <c r="J58" s="1"/>
      <c r="K58" s="1"/>
    </row>
    <row r="59" spans="1:11" ht="15.75">
      <c r="A59" s="6" t="s">
        <v>53</v>
      </c>
      <c r="B59" s="28">
        <v>0</v>
      </c>
      <c r="C59" s="27">
        <v>0</v>
      </c>
      <c r="D59" s="27">
        <v>0</v>
      </c>
      <c r="E59" s="48"/>
      <c r="F59" s="27">
        <v>0</v>
      </c>
      <c r="G59" s="29">
        <v>0</v>
      </c>
      <c r="H59" s="43" t="s">
        <v>54</v>
      </c>
      <c r="I59" s="7"/>
      <c r="J59" s="1"/>
      <c r="K59" s="1"/>
    </row>
    <row r="60" spans="1:11" ht="15.75">
      <c r="A60" s="44" t="s">
        <v>55</v>
      </c>
      <c r="B60" s="45">
        <f aca="true" t="shared" si="6" ref="B60:G60">B56*(B57*B58+B59)</f>
        <v>60000</v>
      </c>
      <c r="C60" s="45">
        <f t="shared" si="6"/>
        <v>13939.999999999998</v>
      </c>
      <c r="D60" s="45">
        <f t="shared" si="6"/>
        <v>15400</v>
      </c>
      <c r="E60" s="45">
        <f t="shared" si="6"/>
        <v>0</v>
      </c>
      <c r="F60" s="45">
        <f t="shared" si="6"/>
        <v>9000</v>
      </c>
      <c r="G60" s="45">
        <f t="shared" si="6"/>
        <v>0</v>
      </c>
      <c r="H60" s="46">
        <f>SUM(B60:G60)</f>
        <v>98340</v>
      </c>
      <c r="I60" s="7"/>
      <c r="J60" s="1"/>
      <c r="K60" s="1"/>
    </row>
    <row r="61" spans="1:11" ht="15.75">
      <c r="A61" s="6" t="s">
        <v>56</v>
      </c>
      <c r="B61" s="7"/>
      <c r="C61" s="7"/>
      <c r="D61" s="7"/>
      <c r="E61" s="7"/>
      <c r="F61" s="7"/>
      <c r="G61" s="7"/>
      <c r="H61" s="7"/>
      <c r="I61" s="7"/>
      <c r="J61" s="1"/>
      <c r="K61" s="1"/>
    </row>
    <row r="62" spans="1:11" ht="15.75">
      <c r="A62" s="6" t="s">
        <v>57</v>
      </c>
      <c r="B62" s="30">
        <v>0.12</v>
      </c>
      <c r="C62" s="7"/>
      <c r="D62" s="7"/>
      <c r="E62" s="7"/>
      <c r="F62" s="7"/>
      <c r="G62" s="7"/>
      <c r="H62" s="7"/>
      <c r="I62" s="7"/>
      <c r="J62" s="1"/>
      <c r="K62" s="1"/>
    </row>
    <row r="63" ht="15.75">
      <c r="K63" s="1"/>
    </row>
    <row r="64" ht="15.75">
      <c r="K64" s="1"/>
    </row>
    <row r="65" ht="15.75">
      <c r="K65" s="1"/>
    </row>
    <row r="66" ht="15.75">
      <c r="K66" s="1"/>
    </row>
    <row r="67" ht="15.75">
      <c r="K67" s="1"/>
    </row>
    <row r="68" ht="15.75">
      <c r="K68" s="1"/>
    </row>
    <row r="69" ht="15.75">
      <c r="K69" s="1"/>
    </row>
    <row r="70" ht="15.75">
      <c r="K70" s="1"/>
    </row>
    <row r="71" ht="15.75">
      <c r="K71" s="1"/>
    </row>
    <row r="72" ht="15.75">
      <c r="K72" s="1"/>
    </row>
    <row r="73" ht="15.75">
      <c r="K73" s="1"/>
    </row>
    <row r="74" ht="15.75">
      <c r="K74" s="1"/>
    </row>
    <row r="75" ht="15.75">
      <c r="K75" s="1"/>
    </row>
    <row r="76" ht="15.75">
      <c r="K76" s="1"/>
    </row>
    <row r="77" ht="15.75">
      <c r="K77" s="1"/>
    </row>
    <row r="78" ht="15.75">
      <c r="K78" s="1"/>
    </row>
    <row r="79" ht="15.75">
      <c r="K79" s="1"/>
    </row>
    <row r="80" ht="15.75">
      <c r="K80" s="1"/>
    </row>
    <row r="81" ht="15.75">
      <c r="K81" s="1"/>
    </row>
    <row r="82" ht="15.75">
      <c r="K82" s="1"/>
    </row>
    <row r="83" ht="15.75">
      <c r="K83" s="1"/>
    </row>
    <row r="84" ht="15.75">
      <c r="K84" s="1"/>
    </row>
    <row r="85" ht="15.75">
      <c r="K85" s="1"/>
    </row>
    <row r="86" ht="15.75">
      <c r="K86" s="1"/>
    </row>
    <row r="87" ht="15.75">
      <c r="K87" s="1"/>
    </row>
    <row r="88" ht="15.75">
      <c r="K88" s="1"/>
    </row>
    <row r="89" ht="15.75">
      <c r="K89" s="1"/>
    </row>
    <row r="90" ht="15.75">
      <c r="K90" s="1"/>
    </row>
    <row r="91" ht="15.75">
      <c r="K91" s="1"/>
    </row>
    <row r="92" ht="15.75">
      <c r="K92" s="1"/>
    </row>
    <row r="93" ht="15.75">
      <c r="K93" s="1"/>
    </row>
    <row r="94" ht="15.75">
      <c r="K94" s="1"/>
    </row>
    <row r="95" ht="15.75">
      <c r="K95" s="1"/>
    </row>
    <row r="96" ht="15.75">
      <c r="K96" s="1"/>
    </row>
    <row r="97" ht="15.75">
      <c r="K97" s="1"/>
    </row>
    <row r="98" ht="15.75">
      <c r="K98" s="1"/>
    </row>
    <row r="99" ht="15.75">
      <c r="K99" s="1"/>
    </row>
    <row r="100" ht="15.75">
      <c r="K100" s="1"/>
    </row>
    <row r="101" ht="15.75">
      <c r="K101" s="1"/>
    </row>
    <row r="102" ht="15.75">
      <c r="K102" s="1"/>
    </row>
    <row r="103" ht="15.75">
      <c r="K103" s="1"/>
    </row>
    <row r="104" ht="15.75">
      <c r="K104" s="1"/>
    </row>
    <row r="105" ht="15.75">
      <c r="K105" s="1"/>
    </row>
    <row r="106" ht="15.75">
      <c r="K106" s="1"/>
    </row>
    <row r="107" ht="15.75">
      <c r="K107" s="1"/>
    </row>
    <row r="108" ht="15.75">
      <c r="K108" s="1"/>
    </row>
    <row r="109" ht="15.75">
      <c r="K109" s="1"/>
    </row>
    <row r="110" ht="15.75">
      <c r="K110" s="1"/>
    </row>
    <row r="111" ht="15.75">
      <c r="K111" s="1"/>
    </row>
    <row r="112" ht="15.75">
      <c r="K112" s="1"/>
    </row>
    <row r="113" ht="15.75">
      <c r="K113" s="1"/>
    </row>
    <row r="114" ht="15.75">
      <c r="K114" s="1"/>
    </row>
    <row r="115" ht="15.75">
      <c r="K115" s="1"/>
    </row>
    <row r="116" ht="15.75">
      <c r="K116" s="1"/>
    </row>
    <row r="117" ht="15.75">
      <c r="K117" s="1"/>
    </row>
    <row r="118" ht="15.75">
      <c r="K118" s="1"/>
    </row>
    <row r="119" ht="15.75">
      <c r="K119" s="1"/>
    </row>
    <row r="120" ht="15.75">
      <c r="K120" s="1"/>
    </row>
    <row r="121" ht="15.75">
      <c r="K121" s="1"/>
    </row>
    <row r="122" ht="15.75">
      <c r="K122" s="1"/>
    </row>
    <row r="123" ht="15.75">
      <c r="K123" s="1"/>
    </row>
    <row r="124" ht="15.75">
      <c r="K124" s="1"/>
    </row>
    <row r="125" ht="15.75">
      <c r="K125" s="1"/>
    </row>
    <row r="126" ht="15.75">
      <c r="K126" s="1"/>
    </row>
    <row r="127" ht="15.75">
      <c r="K127" s="1"/>
    </row>
    <row r="128" ht="15.75">
      <c r="K128" s="1"/>
    </row>
    <row r="129" ht="15.75">
      <c r="K129" s="1"/>
    </row>
    <row r="130" ht="15.75">
      <c r="K130" s="1"/>
    </row>
    <row r="131" ht="15.75">
      <c r="K131" s="1"/>
    </row>
    <row r="132" ht="15.75">
      <c r="K132" s="1"/>
    </row>
    <row r="133" ht="15.75">
      <c r="K133" s="1"/>
    </row>
    <row r="134" ht="15.75">
      <c r="K134" s="1"/>
    </row>
    <row r="135" ht="15.75">
      <c r="K135" s="1"/>
    </row>
    <row r="136" ht="15.75">
      <c r="K136" s="1"/>
    </row>
    <row r="137" ht="15.75">
      <c r="K137" s="1"/>
    </row>
    <row r="138" ht="15.75">
      <c r="K138" s="1"/>
    </row>
    <row r="139" ht="15.75">
      <c r="K139" s="1"/>
    </row>
    <row r="140" ht="15.75">
      <c r="K140" s="1"/>
    </row>
    <row r="141" ht="15.75">
      <c r="K141" s="1"/>
    </row>
    <row r="142" ht="15.75">
      <c r="K142" s="1"/>
    </row>
    <row r="143" ht="15.75">
      <c r="K143" s="1"/>
    </row>
    <row r="144" ht="15.75">
      <c r="K144" s="1"/>
    </row>
    <row r="145" ht="15.75">
      <c r="K145" s="1"/>
    </row>
    <row r="146" ht="15.75">
      <c r="K146" s="1"/>
    </row>
    <row r="147" ht="15.75">
      <c r="K147" s="1"/>
    </row>
    <row r="148" ht="15.75">
      <c r="K148" s="1"/>
    </row>
    <row r="149" ht="15.75">
      <c r="K149" s="1"/>
    </row>
    <row r="150" ht="15.75">
      <c r="K150" s="1"/>
    </row>
    <row r="151" ht="15.75">
      <c r="K151" s="1"/>
    </row>
    <row r="152" ht="15.75">
      <c r="K152" s="1"/>
    </row>
    <row r="153" ht="15.75">
      <c r="K153" s="1"/>
    </row>
    <row r="154" ht="15.75">
      <c r="K154" s="1"/>
    </row>
    <row r="155" ht="15.75">
      <c r="K155" s="1"/>
    </row>
    <row r="156" ht="15.75">
      <c r="K156" s="1"/>
    </row>
    <row r="157" ht="15.75">
      <c r="K157" s="1"/>
    </row>
    <row r="158" ht="15.75">
      <c r="K158" s="1"/>
    </row>
    <row r="159" ht="15.75">
      <c r="K159" s="1"/>
    </row>
    <row r="160" ht="15.75">
      <c r="K160" s="1"/>
    </row>
    <row r="161" ht="15.75">
      <c r="K161" s="1"/>
    </row>
    <row r="162" ht="15.75">
      <c r="K162" s="1"/>
    </row>
    <row r="163" ht="15.75">
      <c r="K163" s="1"/>
    </row>
    <row r="164" ht="15.75">
      <c r="K164" s="1"/>
    </row>
    <row r="165" ht="15.75">
      <c r="K165" s="1"/>
    </row>
    <row r="166" ht="15.75">
      <c r="K166" s="1"/>
    </row>
    <row r="167" ht="15.75">
      <c r="K167" s="1"/>
    </row>
    <row r="168" ht="15.75">
      <c r="K168" s="1"/>
    </row>
    <row r="169" ht="15.75">
      <c r="K169" s="1"/>
    </row>
    <row r="170" ht="15.75">
      <c r="K170" s="1"/>
    </row>
    <row r="171" ht="15.75">
      <c r="K171" s="1"/>
    </row>
    <row r="172" ht="15.75">
      <c r="K172" s="1"/>
    </row>
    <row r="173" ht="15.75">
      <c r="K173" s="1"/>
    </row>
    <row r="174" ht="15.75">
      <c r="K174" s="1"/>
    </row>
    <row r="175" ht="15.75">
      <c r="K175" s="1"/>
    </row>
    <row r="176" ht="15.75">
      <c r="K176" s="1"/>
    </row>
    <row r="177" ht="15.75">
      <c r="K177" s="1"/>
    </row>
    <row r="178" ht="15.75">
      <c r="K178" s="1"/>
    </row>
    <row r="179" ht="15.75">
      <c r="K179" s="1"/>
    </row>
    <row r="180" ht="15.75">
      <c r="K180" s="1"/>
    </row>
    <row r="181" ht="15.75">
      <c r="K181" s="1"/>
    </row>
    <row r="182" ht="15.75">
      <c r="K182" s="1"/>
    </row>
    <row r="183" ht="15.75">
      <c r="K183" s="1"/>
    </row>
    <row r="184" ht="15.75">
      <c r="K184" s="1"/>
    </row>
    <row r="185" ht="15.75">
      <c r="K185" s="1"/>
    </row>
    <row r="186" ht="15.75">
      <c r="K186" s="1"/>
    </row>
    <row r="187" ht="15.75">
      <c r="K187" s="1"/>
    </row>
    <row r="188" ht="15.75">
      <c r="K188" s="1"/>
    </row>
    <row r="189" ht="15.75">
      <c r="K189" s="1"/>
    </row>
    <row r="190" ht="15.75">
      <c r="K190" s="1"/>
    </row>
    <row r="191" ht="15.75">
      <c r="K191" s="1"/>
    </row>
    <row r="192" ht="15.75">
      <c r="K192" s="1"/>
    </row>
    <row r="193" ht="15.75">
      <c r="K193" s="1"/>
    </row>
    <row r="194" ht="15.75">
      <c r="K194" s="1"/>
    </row>
    <row r="195" ht="15.75">
      <c r="K195" s="1"/>
    </row>
    <row r="196" ht="15.75">
      <c r="K196" s="1"/>
    </row>
    <row r="197" ht="15.75">
      <c r="K197" s="1"/>
    </row>
    <row r="198" ht="15.75">
      <c r="K198" s="1"/>
    </row>
    <row r="199" ht="15.75">
      <c r="K199" s="1"/>
    </row>
    <row r="200" ht="15.75">
      <c r="K200" s="1"/>
    </row>
    <row r="201" ht="15.75">
      <c r="K201" s="1"/>
    </row>
    <row r="202" ht="15.75">
      <c r="K202" s="1"/>
    </row>
    <row r="203" ht="15.75">
      <c r="K203" s="1"/>
    </row>
    <row r="204" ht="15.75">
      <c r="K204" s="1"/>
    </row>
    <row r="205" ht="15.75">
      <c r="K205" s="1"/>
    </row>
    <row r="206" ht="15.75">
      <c r="K206" s="1"/>
    </row>
    <row r="207" ht="15.75">
      <c r="K207" s="1"/>
    </row>
    <row r="208" ht="15.75">
      <c r="K208" s="1"/>
    </row>
    <row r="209" ht="15.75">
      <c r="K209" s="1"/>
    </row>
    <row r="210" ht="15.75">
      <c r="K210" s="1"/>
    </row>
    <row r="211" ht="15.75">
      <c r="K211" s="1"/>
    </row>
    <row r="212" ht="15.75">
      <c r="K212" s="1"/>
    </row>
    <row r="213" ht="15.75">
      <c r="K213" s="1"/>
    </row>
    <row r="214" ht="15.75">
      <c r="K214" s="1"/>
    </row>
    <row r="215" ht="15.75">
      <c r="K215" s="1"/>
    </row>
    <row r="216" ht="15.75">
      <c r="K216" s="1"/>
    </row>
    <row r="217" ht="15.75">
      <c r="K217" s="1"/>
    </row>
    <row r="218" ht="15.75">
      <c r="K218" s="1"/>
    </row>
    <row r="219" ht="15.75">
      <c r="K219" s="1"/>
    </row>
    <row r="220" ht="15.75">
      <c r="K220" s="1"/>
    </row>
    <row r="221" ht="15.75">
      <c r="K221" s="1"/>
    </row>
    <row r="222" ht="15.75">
      <c r="K222" s="1"/>
    </row>
    <row r="223" ht="15.75">
      <c r="K223" s="1"/>
    </row>
    <row r="224" ht="15.75">
      <c r="K224" s="1"/>
    </row>
    <row r="225" ht="15.75">
      <c r="K225" s="1"/>
    </row>
    <row r="226" ht="15.75">
      <c r="K226" s="1"/>
    </row>
    <row r="227" ht="15.75">
      <c r="K227" s="1"/>
    </row>
    <row r="228" ht="15.75">
      <c r="K228" s="1"/>
    </row>
    <row r="229" ht="15.75">
      <c r="K229" s="1"/>
    </row>
    <row r="230" ht="15.75">
      <c r="K230" s="1"/>
    </row>
    <row r="231" ht="15.75">
      <c r="K231" s="1"/>
    </row>
    <row r="232" ht="15.75">
      <c r="K232" s="1"/>
    </row>
    <row r="233" ht="15.75">
      <c r="K233" s="1"/>
    </row>
    <row r="234" ht="15.75">
      <c r="K234" s="1"/>
    </row>
    <row r="235" ht="15.75">
      <c r="K235" s="1"/>
    </row>
    <row r="236" ht="15.75">
      <c r="K236" s="1"/>
    </row>
    <row r="237" ht="15.75">
      <c r="K237" s="1"/>
    </row>
    <row r="238" ht="15.75">
      <c r="K238" s="1"/>
    </row>
    <row r="239" ht="15.75">
      <c r="K239" s="1"/>
    </row>
    <row r="240" ht="15.75">
      <c r="K240" s="1"/>
    </row>
    <row r="241" ht="15.75">
      <c r="K241" s="1"/>
    </row>
    <row r="242" ht="15.75">
      <c r="K242" s="1"/>
    </row>
    <row r="243" ht="15.75">
      <c r="K243" s="1"/>
    </row>
    <row r="244" ht="15.75">
      <c r="K244" s="1"/>
    </row>
    <row r="245" ht="15.75">
      <c r="K245" s="1"/>
    </row>
    <row r="246" ht="15.75">
      <c r="K246" s="1"/>
    </row>
    <row r="247" ht="15.75">
      <c r="K247" s="1"/>
    </row>
    <row r="248" ht="15.75">
      <c r="K248" s="1"/>
    </row>
    <row r="249" ht="15.75">
      <c r="K249" s="1"/>
    </row>
    <row r="250" ht="15.75">
      <c r="K250" s="1"/>
    </row>
    <row r="251" ht="15.75">
      <c r="K251" s="1"/>
    </row>
    <row r="252" ht="15.75">
      <c r="K252" s="1"/>
    </row>
    <row r="253" ht="15.75">
      <c r="K253" s="1"/>
    </row>
    <row r="254" ht="15.75">
      <c r="K254" s="1"/>
    </row>
    <row r="255" ht="15.75">
      <c r="K255" s="1"/>
    </row>
    <row r="256" ht="15.75">
      <c r="K256" s="1"/>
    </row>
    <row r="257" ht="15.75">
      <c r="K257" s="1"/>
    </row>
    <row r="258" ht="15.75">
      <c r="K258" s="1"/>
    </row>
    <row r="259" ht="15.75">
      <c r="K259" s="1"/>
    </row>
    <row r="260" ht="15.75">
      <c r="K260" s="1"/>
    </row>
    <row r="261" ht="15.75">
      <c r="K261" s="1"/>
    </row>
    <row r="262" ht="15.75">
      <c r="K262" s="1"/>
    </row>
    <row r="263" ht="15.75">
      <c r="K263" s="1"/>
    </row>
    <row r="264" ht="15.75">
      <c r="K264" s="1"/>
    </row>
    <row r="265" ht="15.75">
      <c r="K265" s="1"/>
    </row>
    <row r="266" ht="15.75">
      <c r="K266" s="1"/>
    </row>
    <row r="267" ht="15.75">
      <c r="K267" s="1"/>
    </row>
    <row r="268" ht="15.75">
      <c r="K268" s="1"/>
    </row>
    <row r="269" ht="15.75">
      <c r="K269" s="1"/>
    </row>
    <row r="270" ht="15.75">
      <c r="K270" s="1"/>
    </row>
    <row r="271" ht="15.75">
      <c r="K271" s="1"/>
    </row>
    <row r="272" ht="15.75">
      <c r="K272" s="1"/>
    </row>
    <row r="273" ht="15.75">
      <c r="K273" s="1"/>
    </row>
    <row r="274" ht="15.75">
      <c r="K274" s="1"/>
    </row>
    <row r="275" ht="15.75">
      <c r="K275" s="1"/>
    </row>
    <row r="276" ht="15.75">
      <c r="K276" s="1"/>
    </row>
    <row r="277" ht="15.75">
      <c r="K277" s="1"/>
    </row>
    <row r="278" ht="15.75">
      <c r="K278" s="1"/>
    </row>
    <row r="279" ht="15.75">
      <c r="K279" s="1"/>
    </row>
    <row r="280" ht="15.75">
      <c r="K280" s="1"/>
    </row>
    <row r="281" ht="15.75">
      <c r="K281" s="1"/>
    </row>
    <row r="282" ht="15.75">
      <c r="K282" s="1"/>
    </row>
    <row r="283" ht="15.75">
      <c r="K283" s="1"/>
    </row>
    <row r="284" ht="15.75">
      <c r="K284" s="1"/>
    </row>
    <row r="285" ht="15.75">
      <c r="K285" s="1"/>
    </row>
    <row r="286" ht="15.75">
      <c r="K286" s="1"/>
    </row>
    <row r="287" ht="15.75">
      <c r="K287" s="1"/>
    </row>
    <row r="288" ht="15.75">
      <c r="K288" s="1"/>
    </row>
    <row r="289" ht="15.75">
      <c r="K289" s="1"/>
    </row>
    <row r="290" ht="15.75">
      <c r="K290" s="1"/>
    </row>
    <row r="291" ht="15.75">
      <c r="K291" s="1"/>
    </row>
    <row r="292" ht="15.75">
      <c r="K292" s="1"/>
    </row>
    <row r="293" ht="15.75">
      <c r="K293" s="1"/>
    </row>
    <row r="294" ht="15.75">
      <c r="K294" s="1"/>
    </row>
    <row r="295" ht="15.75">
      <c r="K295" s="1"/>
    </row>
    <row r="296" ht="15.75">
      <c r="K296" s="1"/>
    </row>
    <row r="297" ht="15.75">
      <c r="K297" s="1"/>
    </row>
    <row r="298" ht="15.75">
      <c r="K298" s="1"/>
    </row>
    <row r="299" ht="15.75">
      <c r="K299" s="1"/>
    </row>
    <row r="300" ht="15.75">
      <c r="K300" s="1"/>
    </row>
    <row r="301" ht="15.75">
      <c r="K301" s="1"/>
    </row>
    <row r="302" spans="10:11" ht="15.75">
      <c r="J302" s="1"/>
      <c r="K302" s="1"/>
    </row>
    <row r="303" spans="10:11" ht="15.75">
      <c r="J303" s="1"/>
      <c r="K303" s="1"/>
    </row>
    <row r="304" spans="10:11" ht="15.75">
      <c r="J304" s="1"/>
      <c r="K304" s="1"/>
    </row>
    <row r="305" spans="10:11" ht="15.75">
      <c r="J305" s="1"/>
      <c r="K305" s="1"/>
    </row>
    <row r="306" spans="10:11" ht="15.75">
      <c r="J306" s="1"/>
      <c r="K306" s="1"/>
    </row>
    <row r="307" spans="10:11" ht="15.75">
      <c r="J307" s="1"/>
      <c r="K307" s="1"/>
    </row>
    <row r="308" spans="10:11" ht="15.75">
      <c r="J308" s="1"/>
      <c r="K308" s="1"/>
    </row>
    <row r="309" spans="10:11" ht="15.75">
      <c r="J309" s="1"/>
      <c r="K309" s="1"/>
    </row>
    <row r="310" spans="10:11" ht="15.75">
      <c r="J310" s="1"/>
      <c r="K310" s="1"/>
    </row>
    <row r="311" spans="10:11" ht="15.75">
      <c r="J311" s="1"/>
      <c r="K311" s="1"/>
    </row>
    <row r="312" spans="10:11" ht="15.75">
      <c r="J312" s="1"/>
      <c r="K312" s="1"/>
    </row>
    <row r="313" spans="10:11" ht="15.75">
      <c r="J313" s="1"/>
      <c r="K313" s="1"/>
    </row>
    <row r="314" spans="10:11" ht="15.75">
      <c r="J314" s="1"/>
      <c r="K314" s="1"/>
    </row>
    <row r="315" spans="10:11" ht="15.75">
      <c r="J315" s="1"/>
      <c r="K315" s="1"/>
    </row>
    <row r="316" spans="10:11" ht="15.75">
      <c r="J316" s="1"/>
      <c r="K316" s="1"/>
    </row>
    <row r="317" spans="10:11" ht="15.75">
      <c r="J317" s="1"/>
      <c r="K317" s="1"/>
    </row>
    <row r="318" spans="10:11" ht="15.75">
      <c r="J318" s="1"/>
      <c r="K318" s="1"/>
    </row>
    <row r="319" spans="10:11" ht="15.75">
      <c r="J319" s="1"/>
      <c r="K319" s="1"/>
    </row>
    <row r="320" spans="10:11" ht="15.75">
      <c r="J320" s="1"/>
      <c r="K320" s="1"/>
    </row>
    <row r="321" spans="10:11" ht="15.75">
      <c r="J321" s="1"/>
      <c r="K321" s="1"/>
    </row>
    <row r="322" spans="10:11" ht="15.75">
      <c r="J322" s="1"/>
      <c r="K322" s="1"/>
    </row>
    <row r="323" spans="10:11" ht="15.75">
      <c r="J323" s="1"/>
      <c r="K323" s="1"/>
    </row>
    <row r="324" spans="10:11" ht="15.75">
      <c r="J324" s="1"/>
      <c r="K324" s="1"/>
    </row>
    <row r="325" spans="10:11" ht="15.75">
      <c r="J325" s="1"/>
      <c r="K325" s="1"/>
    </row>
    <row r="326" spans="10:11" ht="15.75">
      <c r="J326" s="1"/>
      <c r="K326" s="1"/>
    </row>
    <row r="327" spans="10:11" ht="15.75">
      <c r="J327" s="1"/>
      <c r="K327" s="1"/>
    </row>
    <row r="328" spans="10:11" ht="15.75">
      <c r="J328" s="1"/>
      <c r="K328" s="1"/>
    </row>
    <row r="421" spans="1:10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</row>
    <row r="422" spans="1:10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</row>
    <row r="423" spans="1:10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</row>
    <row r="424" spans="1:10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</row>
    <row r="425" spans="1:10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</row>
    <row r="426" spans="1:10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</row>
    <row r="427" spans="1:10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</row>
    <row r="428" spans="1:10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</row>
    <row r="429" spans="1:10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</row>
    <row r="430" spans="1:10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</row>
  </sheetData>
  <mergeCells count="1">
    <mergeCell ref="A1:I1"/>
  </mergeCells>
  <printOptions horizontalCentered="1"/>
  <pageMargins left="0.1" right="0.1" top="0.333" bottom="0.333" header="0.5" footer="0.5"/>
  <pageSetup fitToHeight="1" fitToWidth="1" horizontalDpi="300" verticalDpi="3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J43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14" style="0" customWidth="1"/>
    <col min="4" max="4" width="10.5" style="0" customWidth="1"/>
    <col min="8" max="8" width="11.8984375" style="0" customWidth="1"/>
    <col min="9" max="9" width="11.09765625" style="0" customWidth="1"/>
  </cols>
  <sheetData>
    <row r="3" spans="1:10" ht="15.75">
      <c r="A3" s="31"/>
      <c r="B3" s="31"/>
      <c r="C3" s="7"/>
      <c r="D3" s="7"/>
      <c r="E3" s="7"/>
      <c r="F3" s="7"/>
      <c r="G3" s="7"/>
      <c r="H3" s="7"/>
      <c r="I3" s="7"/>
      <c r="J3" s="1"/>
    </row>
    <row r="4" spans="1:10" ht="15.75">
      <c r="A4" s="6" t="s">
        <v>58</v>
      </c>
      <c r="B4" s="7"/>
      <c r="C4" s="7"/>
      <c r="D4" s="32" t="s">
        <v>59</v>
      </c>
      <c r="E4" s="11"/>
      <c r="F4" s="11"/>
      <c r="G4" s="11"/>
      <c r="H4" s="11"/>
      <c r="I4" s="11"/>
      <c r="J4" s="5"/>
    </row>
    <row r="5" spans="1:10" ht="15.75">
      <c r="A5" s="11"/>
      <c r="B5" s="11"/>
      <c r="C5" s="11"/>
      <c r="D5" s="12"/>
      <c r="E5" s="19" t="s">
        <v>60</v>
      </c>
      <c r="F5" s="20" t="s">
        <v>61</v>
      </c>
      <c r="G5" s="20" t="s">
        <v>2</v>
      </c>
      <c r="H5" s="20" t="s">
        <v>3</v>
      </c>
      <c r="I5" s="20" t="s">
        <v>3</v>
      </c>
      <c r="J5" s="5"/>
    </row>
    <row r="6" spans="1:10" ht="15.75">
      <c r="A6" s="7"/>
      <c r="B6" s="7"/>
      <c r="C6" s="7"/>
      <c r="D6" s="15"/>
      <c r="E6" s="16" t="s">
        <v>62</v>
      </c>
      <c r="F6" s="10" t="s">
        <v>62</v>
      </c>
      <c r="G6" s="10" t="s">
        <v>8</v>
      </c>
      <c r="H6" s="10" t="s">
        <v>8</v>
      </c>
      <c r="I6" s="10" t="s">
        <v>7</v>
      </c>
      <c r="J6" s="5"/>
    </row>
    <row r="7" spans="1:10" ht="15.75">
      <c r="A7" s="6" t="s">
        <v>63</v>
      </c>
      <c r="B7" s="7"/>
      <c r="C7" s="7"/>
      <c r="D7" s="33" t="s">
        <v>64</v>
      </c>
      <c r="E7" s="16" t="s">
        <v>65</v>
      </c>
      <c r="F7" s="10" t="s">
        <v>65</v>
      </c>
      <c r="G7" s="10" t="s">
        <v>11</v>
      </c>
      <c r="H7" s="10" t="s">
        <v>11</v>
      </c>
      <c r="I7" s="10" t="s">
        <v>11</v>
      </c>
      <c r="J7" s="5"/>
    </row>
    <row r="8" spans="1:10" ht="15.75">
      <c r="A8" s="11"/>
      <c r="B8" s="11"/>
      <c r="C8" s="11"/>
      <c r="D8" s="191"/>
      <c r="E8" s="191"/>
      <c r="F8" s="191"/>
      <c r="G8" s="191"/>
      <c r="H8" s="191"/>
      <c r="I8" s="191"/>
      <c r="J8" s="5"/>
    </row>
    <row r="9" spans="1:10" ht="15.75">
      <c r="A9" s="6" t="s">
        <v>66</v>
      </c>
      <c r="B9" s="7"/>
      <c r="C9" s="7"/>
      <c r="D9" s="34" t="s">
        <v>67</v>
      </c>
      <c r="E9" s="24">
        <v>5</v>
      </c>
      <c r="F9" s="13">
        <v>1</v>
      </c>
      <c r="G9" s="14">
        <v>1</v>
      </c>
      <c r="H9" s="165">
        <f>E9*F9*G9*Ownr_Entr!$B$56</f>
        <v>2500</v>
      </c>
      <c r="I9" s="165">
        <f>E9*F9*(1-G9)*Ownr_Entr!$B$56</f>
        <v>0</v>
      </c>
      <c r="J9" s="5"/>
    </row>
    <row r="10" spans="1:10" ht="15.75">
      <c r="A10" s="6" t="s">
        <v>68</v>
      </c>
      <c r="B10" s="8"/>
      <c r="C10" s="35" t="s">
        <v>69</v>
      </c>
      <c r="D10" s="34" t="s">
        <v>70</v>
      </c>
      <c r="E10" s="24">
        <v>2.5</v>
      </c>
      <c r="F10" s="13">
        <v>1</v>
      </c>
      <c r="G10" s="14">
        <v>1</v>
      </c>
      <c r="H10" s="165">
        <f>E10*F10*G10*Ownr_Entr!$B$56</f>
        <v>1250</v>
      </c>
      <c r="I10" s="165">
        <f>E10*F10*(1-G10)*Ownr_Entr!$B$56</f>
        <v>0</v>
      </c>
      <c r="J10" s="5"/>
    </row>
    <row r="11" spans="1:10" ht="15.75">
      <c r="A11" s="36" t="s">
        <v>71</v>
      </c>
      <c r="B11" s="8"/>
      <c r="C11" s="8"/>
      <c r="D11" s="34" t="s">
        <v>70</v>
      </c>
      <c r="E11" s="24">
        <v>0</v>
      </c>
      <c r="F11" s="13">
        <v>1</v>
      </c>
      <c r="G11" s="14">
        <v>1</v>
      </c>
      <c r="H11" s="165">
        <f>E11*F11*G11*Ownr_Entr!$B$56</f>
        <v>0</v>
      </c>
      <c r="I11" s="165">
        <f>E11*F11*(1-G11)*Ownr_Entr!$B$56</f>
        <v>0</v>
      </c>
      <c r="J11" s="5"/>
    </row>
    <row r="12" spans="1:10" ht="15.75">
      <c r="A12" s="36" t="s">
        <v>71</v>
      </c>
      <c r="B12" s="8"/>
      <c r="C12" s="8"/>
      <c r="D12" s="34" t="s">
        <v>70</v>
      </c>
      <c r="E12" s="24">
        <v>0</v>
      </c>
      <c r="F12" s="13">
        <v>1</v>
      </c>
      <c r="G12" s="14">
        <v>1</v>
      </c>
      <c r="H12" s="165">
        <f>E12*F12*G12*Ownr_Entr!$B$56</f>
        <v>0</v>
      </c>
      <c r="I12" s="165">
        <f>E12*F12*(1-G12)*Ownr_Entr!$B$56</f>
        <v>0</v>
      </c>
      <c r="J12" s="5"/>
    </row>
    <row r="13" spans="1:10" ht="15.75">
      <c r="A13" s="6" t="s">
        <v>72</v>
      </c>
      <c r="B13" s="7"/>
      <c r="C13" s="37"/>
      <c r="D13" s="34" t="s">
        <v>73</v>
      </c>
      <c r="E13" s="24">
        <v>0</v>
      </c>
      <c r="F13" s="13">
        <v>1</v>
      </c>
      <c r="G13" s="14">
        <v>1</v>
      </c>
      <c r="H13" s="165">
        <f>E13*F13*G13*Ownr_Entr!$B$56</f>
        <v>0</v>
      </c>
      <c r="I13" s="165">
        <f>E13*F13*(1-G13)*Ownr_Entr!$B$56</f>
        <v>0</v>
      </c>
      <c r="J13" s="5"/>
    </row>
    <row r="14" spans="1:10" ht="15.75">
      <c r="A14" s="6" t="s">
        <v>74</v>
      </c>
      <c r="B14" s="8"/>
      <c r="C14" s="35" t="s">
        <v>75</v>
      </c>
      <c r="D14" s="34" t="s">
        <v>76</v>
      </c>
      <c r="E14" s="38">
        <v>0.22</v>
      </c>
      <c r="F14" s="13">
        <v>60</v>
      </c>
      <c r="G14" s="14">
        <v>0.6253</v>
      </c>
      <c r="H14" s="165">
        <f>E14*F14*G14*Ownr_Entr!$B$56</f>
        <v>4126.98</v>
      </c>
      <c r="I14" s="165">
        <f>E14*F14*(1-G14)*Ownr_Entr!$B$56</f>
        <v>2473.02</v>
      </c>
      <c r="J14" s="5"/>
    </row>
    <row r="15" spans="1:10" ht="15.75">
      <c r="A15" s="36" t="s">
        <v>71</v>
      </c>
      <c r="B15" s="8"/>
      <c r="C15" s="35" t="s">
        <v>77</v>
      </c>
      <c r="D15" s="34" t="s">
        <v>76</v>
      </c>
      <c r="E15" s="38">
        <v>0.14</v>
      </c>
      <c r="F15" s="13">
        <v>20</v>
      </c>
      <c r="G15" s="14">
        <v>0.6253</v>
      </c>
      <c r="H15" s="165">
        <f>E15*F15*G15*Ownr_Entr!$B$56</f>
        <v>875.4200000000001</v>
      </c>
      <c r="I15" s="165">
        <f>E15*F15*(1-G15)*Ownr_Entr!$B$56</f>
        <v>524.58</v>
      </c>
      <c r="J15" s="5"/>
    </row>
    <row r="16" spans="1:10" ht="15.75">
      <c r="A16" s="36" t="s">
        <v>71</v>
      </c>
      <c r="B16" s="8"/>
      <c r="C16" s="8"/>
      <c r="D16" s="34" t="s">
        <v>76</v>
      </c>
      <c r="E16" s="38">
        <v>0</v>
      </c>
      <c r="F16" s="13">
        <v>0</v>
      </c>
      <c r="G16" s="14">
        <v>1</v>
      </c>
      <c r="H16" s="165">
        <f>E16*F16*G16*Ownr_Entr!$B$56</f>
        <v>0</v>
      </c>
      <c r="I16" s="165">
        <f>E16*F16*(1-G16)*Ownr_Entr!$B$56</f>
        <v>0</v>
      </c>
      <c r="J16" s="5"/>
    </row>
    <row r="17" spans="1:10" ht="15.75">
      <c r="A17" s="6" t="s">
        <v>78</v>
      </c>
      <c r="B17" s="7"/>
      <c r="C17" s="7"/>
      <c r="D17" s="34" t="s">
        <v>73</v>
      </c>
      <c r="E17" s="24">
        <v>0</v>
      </c>
      <c r="F17" s="13">
        <v>1</v>
      </c>
      <c r="G17" s="14">
        <v>1</v>
      </c>
      <c r="H17" s="165">
        <f>E17*F17*G17*Ownr_Entr!$B$56</f>
        <v>0</v>
      </c>
      <c r="I17" s="165">
        <f>E17*F17*(1-G17)*Ownr_Entr!$B$56</f>
        <v>0</v>
      </c>
      <c r="J17" s="5"/>
    </row>
    <row r="18" spans="1:10" ht="15.75">
      <c r="A18" s="6" t="s">
        <v>79</v>
      </c>
      <c r="B18" s="7"/>
      <c r="C18" s="7"/>
      <c r="D18" s="34" t="s">
        <v>73</v>
      </c>
      <c r="E18" s="24">
        <v>10</v>
      </c>
      <c r="F18" s="13">
        <v>1</v>
      </c>
      <c r="G18" s="14">
        <v>1</v>
      </c>
      <c r="H18" s="165">
        <f>E18*F18*G18*Ownr_Entr!$B$56</f>
        <v>5000</v>
      </c>
      <c r="I18" s="165">
        <f>E18*F18*(1-G18)*Ownr_Entr!$B$56</f>
        <v>0</v>
      </c>
      <c r="J18" s="5"/>
    </row>
    <row r="19" spans="1:10" ht="15.75">
      <c r="A19" s="6" t="s">
        <v>80</v>
      </c>
      <c r="B19" s="7"/>
      <c r="C19" s="7"/>
      <c r="D19" s="34" t="s">
        <v>70</v>
      </c>
      <c r="E19" s="24">
        <v>1.25</v>
      </c>
      <c r="F19" s="13">
        <v>1</v>
      </c>
      <c r="G19" s="14">
        <v>1</v>
      </c>
      <c r="H19" s="165">
        <f>IF(E19&gt;100,E19*F19*G19,+E19*F19*G19*Ownr_Entr!$B$56)</f>
        <v>625</v>
      </c>
      <c r="I19" s="165">
        <f>IF(E19&gt;100,E19*F19*(1-G19),E19*F19*(1-G19)*Ownr_Entr!$B$56)</f>
        <v>0</v>
      </c>
      <c r="J19" s="5"/>
    </row>
    <row r="20" spans="1:10" ht="15.75">
      <c r="A20" s="6" t="s">
        <v>81</v>
      </c>
      <c r="B20" s="7"/>
      <c r="C20" s="7"/>
      <c r="D20" s="39"/>
      <c r="E20" s="40" t="s">
        <v>82</v>
      </c>
      <c r="F20" s="39"/>
      <c r="G20" s="13"/>
      <c r="H20" s="165"/>
      <c r="I20" s="165"/>
      <c r="J20" s="5"/>
    </row>
    <row r="21" spans="1:10" ht="15.75">
      <c r="A21" s="6" t="s">
        <v>83</v>
      </c>
      <c r="B21" s="7"/>
      <c r="C21" s="7"/>
      <c r="D21" s="34" t="s">
        <v>70</v>
      </c>
      <c r="E21" s="24">
        <v>0.75</v>
      </c>
      <c r="F21" s="13">
        <v>1</v>
      </c>
      <c r="G21" s="14">
        <v>1</v>
      </c>
      <c r="H21" s="165">
        <f>IF(E21&gt;100,E21*F21*G21,+E21*F21*G21*Ownr_Entr!$B$56)</f>
        <v>375</v>
      </c>
      <c r="I21" s="165">
        <f>IF(E21&gt;100,E21*F21*(1-G21),E21*F21*(1-G21)*Ownr_Entr!$B$56)</f>
        <v>0</v>
      </c>
      <c r="J21" s="5"/>
    </row>
    <row r="22" spans="1:10" ht="15.75">
      <c r="A22" s="6" t="s">
        <v>84</v>
      </c>
      <c r="B22" s="7"/>
      <c r="C22" s="7"/>
      <c r="D22" s="39"/>
      <c r="E22" s="40" t="s">
        <v>82</v>
      </c>
      <c r="F22" s="39"/>
      <c r="G22" s="13"/>
      <c r="H22" s="165"/>
      <c r="I22" s="165"/>
      <c r="J22" s="5"/>
    </row>
    <row r="23" spans="1:10" ht="15.75">
      <c r="A23" s="6" t="s">
        <v>85</v>
      </c>
      <c r="B23" s="7"/>
      <c r="C23" s="7"/>
      <c r="D23" s="39"/>
      <c r="E23" s="40" t="s">
        <v>82</v>
      </c>
      <c r="F23" s="39"/>
      <c r="G23" s="14"/>
      <c r="H23" s="165"/>
      <c r="I23" s="165"/>
      <c r="J23" s="5"/>
    </row>
    <row r="24" spans="1:10" ht="15.75">
      <c r="A24" s="6" t="s">
        <v>86</v>
      </c>
      <c r="B24" s="7"/>
      <c r="C24" s="7"/>
      <c r="D24" s="34" t="s">
        <v>87</v>
      </c>
      <c r="E24" s="24">
        <v>0</v>
      </c>
      <c r="F24" s="13">
        <v>0</v>
      </c>
      <c r="G24" s="14">
        <v>1</v>
      </c>
      <c r="H24" s="165">
        <f>E24*F24*G24*Ownr_Entr!$B$56</f>
        <v>0</v>
      </c>
      <c r="I24" s="165">
        <f>E24*F24*(1-G24)*Ownr_Entr!$B$56</f>
        <v>0</v>
      </c>
      <c r="J24" s="5"/>
    </row>
    <row r="25" spans="1:10" ht="15.75">
      <c r="A25" s="6" t="s">
        <v>88</v>
      </c>
      <c r="B25" s="7"/>
      <c r="C25" s="7"/>
      <c r="D25" s="34" t="s">
        <v>87</v>
      </c>
      <c r="E25" s="24">
        <v>0</v>
      </c>
      <c r="F25" s="13">
        <v>0</v>
      </c>
      <c r="G25" s="14">
        <v>1</v>
      </c>
      <c r="H25" s="165">
        <f>E25*F25*G25*Ownr_Entr!$B$56</f>
        <v>0</v>
      </c>
      <c r="I25" s="165">
        <f>E25*F25*(1-G25)*Ownr_Entr!$B$56</f>
        <v>0</v>
      </c>
      <c r="J25" s="5"/>
    </row>
    <row r="26" spans="1:10" ht="15.75">
      <c r="A26" s="6" t="s">
        <v>89</v>
      </c>
      <c r="B26" s="7"/>
      <c r="C26" s="7"/>
      <c r="D26" s="34" t="s">
        <v>87</v>
      </c>
      <c r="E26" s="24">
        <v>0</v>
      </c>
      <c r="F26" s="13">
        <v>0</v>
      </c>
      <c r="G26" s="14">
        <v>1</v>
      </c>
      <c r="H26" s="165">
        <f>E26*F26*G26*Ownr_Entr!$B$56</f>
        <v>0</v>
      </c>
      <c r="I26" s="165">
        <f>E26*F26*(1-G26)*Ownr_Entr!$B$56</f>
        <v>0</v>
      </c>
      <c r="J26" s="5"/>
    </row>
    <row r="27" spans="1:10" ht="15.75">
      <c r="A27" s="6" t="s">
        <v>90</v>
      </c>
      <c r="B27" s="7"/>
      <c r="C27" s="7"/>
      <c r="D27" s="187"/>
      <c r="E27" s="188" t="s">
        <v>82</v>
      </c>
      <c r="F27" s="187"/>
      <c r="G27" s="189"/>
      <c r="H27" s="190"/>
      <c r="I27" s="190"/>
      <c r="J27" s="5"/>
    </row>
    <row r="28" spans="1:10" ht="15.75">
      <c r="A28" s="6" t="s">
        <v>91</v>
      </c>
      <c r="B28" s="7"/>
      <c r="C28" s="7"/>
      <c r="D28" s="34" t="s">
        <v>87</v>
      </c>
      <c r="E28" s="24">
        <v>0</v>
      </c>
      <c r="F28" s="13">
        <v>1</v>
      </c>
      <c r="G28" s="49"/>
      <c r="H28" s="167"/>
      <c r="I28" s="165">
        <f>E28*F28*Ownr_Entr!$B$56</f>
        <v>0</v>
      </c>
      <c r="J28" s="5"/>
    </row>
    <row r="29" spans="1:10" ht="15.75">
      <c r="A29" s="6" t="s">
        <v>92</v>
      </c>
      <c r="B29" s="7"/>
      <c r="C29" s="7"/>
      <c r="D29" s="34" t="s">
        <v>87</v>
      </c>
      <c r="E29" s="24">
        <v>8</v>
      </c>
      <c r="F29" s="13">
        <v>0.45</v>
      </c>
      <c r="G29" s="49"/>
      <c r="H29" s="165">
        <f>E29*F29*Ownr_Entr!$B$56</f>
        <v>1800</v>
      </c>
      <c r="I29" s="167"/>
      <c r="J29" s="5"/>
    </row>
    <row r="30" spans="1:10" ht="15.75">
      <c r="A30" s="6" t="s">
        <v>93</v>
      </c>
      <c r="B30" s="7"/>
      <c r="C30" s="7"/>
      <c r="D30" s="34" t="s">
        <v>87</v>
      </c>
      <c r="E30" s="24">
        <v>0</v>
      </c>
      <c r="F30" s="13">
        <v>0</v>
      </c>
      <c r="G30" s="49"/>
      <c r="H30" s="165">
        <f>E30*F30*Ownr_Entr!$B$56</f>
        <v>0</v>
      </c>
      <c r="I30" s="167"/>
      <c r="J30" s="5"/>
    </row>
    <row r="31" spans="1:10" ht="15.75">
      <c r="A31" s="6" t="s">
        <v>94</v>
      </c>
      <c r="B31" s="7"/>
      <c r="C31" s="7"/>
      <c r="D31" s="34" t="s">
        <v>87</v>
      </c>
      <c r="E31" s="24">
        <v>0</v>
      </c>
      <c r="F31" s="13">
        <v>1</v>
      </c>
      <c r="G31" s="49"/>
      <c r="H31" s="165">
        <f>E31*F31*Ownr_Entr!$B$56</f>
        <v>0</v>
      </c>
      <c r="I31" s="167"/>
      <c r="J31" s="5"/>
    </row>
    <row r="32" spans="1:10" ht="15.75">
      <c r="A32" s="6" t="s">
        <v>95</v>
      </c>
      <c r="B32" s="7"/>
      <c r="C32" s="7"/>
      <c r="D32" s="34" t="s">
        <v>73</v>
      </c>
      <c r="E32" s="24">
        <v>0</v>
      </c>
      <c r="F32" s="13">
        <v>1</v>
      </c>
      <c r="G32" s="14">
        <v>1</v>
      </c>
      <c r="H32" s="165">
        <f>E32*F32*G32*Ownr_Entr!$B$56</f>
        <v>0</v>
      </c>
      <c r="I32" s="165">
        <f>E32*F32*(1-G32)*Ownr_Entr!$B$56</f>
        <v>0</v>
      </c>
      <c r="J32" s="5"/>
    </row>
    <row r="33" spans="1:10" ht="15.75">
      <c r="A33" s="6" t="s">
        <v>96</v>
      </c>
      <c r="B33" s="7"/>
      <c r="C33" s="7"/>
      <c r="D33" s="34" t="s">
        <v>73</v>
      </c>
      <c r="E33" s="24">
        <v>0</v>
      </c>
      <c r="F33" s="13">
        <v>1</v>
      </c>
      <c r="G33" s="14">
        <v>1</v>
      </c>
      <c r="H33" s="165">
        <f>E33*F33*G33*Ownr_Entr!$B$56</f>
        <v>0</v>
      </c>
      <c r="I33" s="165">
        <f>E33*F33*(1-G33)*Ownr_Entr!$B$56</f>
        <v>0</v>
      </c>
      <c r="J33" s="5"/>
    </row>
    <row r="34" spans="1:10" ht="15.75">
      <c r="A34" s="6" t="s">
        <v>97</v>
      </c>
      <c r="B34" s="7"/>
      <c r="C34" s="7"/>
      <c r="D34" s="34" t="s">
        <v>98</v>
      </c>
      <c r="E34" s="49"/>
      <c r="F34" s="50"/>
      <c r="G34" s="51"/>
      <c r="H34" s="165">
        <f>(SUM(H9:H26)+H32+H33)*Ownr_Entr!$B$62/12*$E$35</f>
        <v>885.1439999999998</v>
      </c>
      <c r="I34" s="165">
        <f>(SUM(I9:I26)+I32+I33)*Ownr_Entr!$B$62/12*$E$35</f>
        <v>179.856</v>
      </c>
      <c r="J34" s="5"/>
    </row>
    <row r="35" spans="1:10" ht="15.75">
      <c r="A35" s="6" t="s">
        <v>99</v>
      </c>
      <c r="B35" s="7"/>
      <c r="C35" s="7"/>
      <c r="D35" s="51"/>
      <c r="E35" s="13">
        <v>6</v>
      </c>
      <c r="F35" s="50"/>
      <c r="G35" s="50"/>
      <c r="H35" s="167"/>
      <c r="I35" s="167"/>
      <c r="J35" s="5"/>
    </row>
    <row r="36" spans="1:10" ht="15.75">
      <c r="A36" s="9" t="s">
        <v>100</v>
      </c>
      <c r="B36" s="11"/>
      <c r="C36" s="11"/>
      <c r="D36" s="191"/>
      <c r="E36" s="191"/>
      <c r="F36" s="191"/>
      <c r="G36" s="191"/>
      <c r="H36" s="192"/>
      <c r="I36" s="192"/>
      <c r="J36" s="5"/>
    </row>
    <row r="37" spans="1:10" ht="15.75">
      <c r="A37" s="6" t="s">
        <v>101</v>
      </c>
      <c r="B37" s="7"/>
      <c r="C37" s="7"/>
      <c r="D37" s="34" t="s">
        <v>73</v>
      </c>
      <c r="E37" s="24">
        <v>8.55</v>
      </c>
      <c r="F37" s="13">
        <v>1</v>
      </c>
      <c r="G37" s="14">
        <v>1</v>
      </c>
      <c r="H37" s="165">
        <f>E37*F37*G37*Ownr_Entr!$B$56</f>
        <v>4275</v>
      </c>
      <c r="I37" s="165">
        <f>E37*F37*(1-G37)*Ownr_Entr!$B$56</f>
        <v>0</v>
      </c>
      <c r="J37" s="5"/>
    </row>
    <row r="38" spans="1:10" ht="15.75">
      <c r="A38" s="6" t="s">
        <v>102</v>
      </c>
      <c r="B38" s="7"/>
      <c r="C38" s="7"/>
      <c r="D38" s="34" t="s">
        <v>73</v>
      </c>
      <c r="E38" s="24">
        <v>1.66</v>
      </c>
      <c r="F38" s="13">
        <v>1</v>
      </c>
      <c r="G38" s="14">
        <v>1</v>
      </c>
      <c r="H38" s="165">
        <f>E38*F38*G38*Ownr_Entr!$B$56</f>
        <v>830</v>
      </c>
      <c r="I38" s="165">
        <f>E38*F38*(1-G38)*Ownr_Entr!$B$56</f>
        <v>0</v>
      </c>
      <c r="J38" s="5"/>
    </row>
    <row r="39" spans="1:10" ht="15.75">
      <c r="A39" s="6" t="s">
        <v>103</v>
      </c>
      <c r="B39" s="7"/>
      <c r="C39" s="7"/>
      <c r="D39" s="34" t="s">
        <v>98</v>
      </c>
      <c r="E39" s="49"/>
      <c r="F39" s="51"/>
      <c r="G39" s="49"/>
      <c r="H39" s="165">
        <f>SUM(H37:H38)*Ownr_Entr!$B$62/12*$E$40</f>
        <v>51.050000000000004</v>
      </c>
      <c r="I39" s="165">
        <f>SUM(I37:I38)*Ownr_Entr!$B$62/12*$E$40</f>
        <v>0</v>
      </c>
      <c r="J39" s="5"/>
    </row>
    <row r="40" spans="1:10" ht="15.75">
      <c r="A40" s="6" t="s">
        <v>104</v>
      </c>
      <c r="B40" s="7"/>
      <c r="C40" s="7"/>
      <c r="D40" s="51"/>
      <c r="E40" s="13">
        <v>1</v>
      </c>
      <c r="F40" s="51"/>
      <c r="G40" s="51"/>
      <c r="H40" s="51"/>
      <c r="I40" s="51"/>
      <c r="J40" s="5"/>
    </row>
    <row r="41" spans="1:10" ht="15.75">
      <c r="A41" s="9" t="s">
        <v>105</v>
      </c>
      <c r="B41" s="11"/>
      <c r="C41" s="11"/>
      <c r="D41" s="11"/>
      <c r="E41" s="11"/>
      <c r="F41" s="11"/>
      <c r="G41" s="11"/>
      <c r="H41" s="18">
        <f>SUM(H9:H39)</f>
        <v>22593.594</v>
      </c>
      <c r="I41" s="18">
        <f>SUM(I9:I39)</f>
        <v>3177.456</v>
      </c>
      <c r="J41" s="5"/>
    </row>
    <row r="42" spans="1:10" ht="15.75">
      <c r="A42" s="7"/>
      <c r="B42" s="7"/>
      <c r="C42" s="7"/>
      <c r="D42" s="7"/>
      <c r="E42" s="7"/>
      <c r="F42" s="7"/>
      <c r="G42" s="7"/>
      <c r="H42" s="11"/>
      <c r="I42" s="11"/>
      <c r="J42" s="1"/>
    </row>
    <row r="43" spans="1:10" ht="15.75">
      <c r="A43" s="7"/>
      <c r="B43" s="7"/>
      <c r="C43" s="7"/>
      <c r="D43" s="7"/>
      <c r="E43" s="7"/>
      <c r="F43" s="7"/>
      <c r="G43" s="7"/>
      <c r="H43" s="7"/>
      <c r="I43" s="7"/>
      <c r="J43" s="1"/>
    </row>
  </sheetData>
  <printOptions/>
  <pageMargins left="0.75" right="0.75" top="1" bottom="1" header="0.5" footer="0.5"/>
  <pageSetup fitToHeight="1" fitToWidth="1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J43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14.5" style="0" customWidth="1"/>
    <col min="4" max="4" width="10.09765625" style="0" customWidth="1"/>
    <col min="8" max="8" width="11.8984375" style="0" customWidth="1"/>
    <col min="9" max="9" width="11.5" style="0" customWidth="1"/>
  </cols>
  <sheetData>
    <row r="3" spans="1:10" ht="15.75">
      <c r="A3" s="7"/>
      <c r="B3" s="7"/>
      <c r="C3" s="7"/>
      <c r="D3" s="7"/>
      <c r="E3" s="7"/>
      <c r="F3" s="7"/>
      <c r="G3" s="7"/>
      <c r="H3" s="7"/>
      <c r="I3" s="7"/>
      <c r="J3" s="1"/>
    </row>
    <row r="4" spans="1:10" ht="15.75">
      <c r="A4" s="6" t="s">
        <v>106</v>
      </c>
      <c r="B4" s="7"/>
      <c r="C4" s="7"/>
      <c r="D4" s="32" t="s">
        <v>107</v>
      </c>
      <c r="E4" s="11"/>
      <c r="F4" s="11"/>
      <c r="G4" s="11"/>
      <c r="H4" s="11"/>
      <c r="I4" s="11"/>
      <c r="J4" s="5"/>
    </row>
    <row r="5" spans="1:10" ht="15.75">
      <c r="A5" s="11"/>
      <c r="B5" s="11"/>
      <c r="C5" s="11"/>
      <c r="D5" s="12"/>
      <c r="E5" s="19" t="s">
        <v>60</v>
      </c>
      <c r="F5" s="20" t="s">
        <v>61</v>
      </c>
      <c r="G5" s="20" t="s">
        <v>2</v>
      </c>
      <c r="H5" s="20" t="s">
        <v>3</v>
      </c>
      <c r="I5" s="20" t="s">
        <v>3</v>
      </c>
      <c r="J5" s="5"/>
    </row>
    <row r="6" spans="1:10" ht="15.75">
      <c r="A6" s="7"/>
      <c r="B6" s="7"/>
      <c r="C6" s="7"/>
      <c r="D6" s="15"/>
      <c r="E6" s="16" t="s">
        <v>62</v>
      </c>
      <c r="F6" s="10" t="s">
        <v>62</v>
      </c>
      <c r="G6" s="10" t="s">
        <v>8</v>
      </c>
      <c r="H6" s="10" t="s">
        <v>8</v>
      </c>
      <c r="I6" s="10" t="s">
        <v>7</v>
      </c>
      <c r="J6" s="5"/>
    </row>
    <row r="7" spans="1:10" ht="15.75">
      <c r="A7" s="6" t="s">
        <v>63</v>
      </c>
      <c r="B7" s="7"/>
      <c r="C7" s="7"/>
      <c r="D7" s="33" t="s">
        <v>64</v>
      </c>
      <c r="E7" s="16" t="s">
        <v>65</v>
      </c>
      <c r="F7" s="10" t="s">
        <v>65</v>
      </c>
      <c r="G7" s="10" t="s">
        <v>11</v>
      </c>
      <c r="H7" s="10" t="s">
        <v>11</v>
      </c>
      <c r="I7" s="10" t="s">
        <v>11</v>
      </c>
      <c r="J7" s="5"/>
    </row>
    <row r="8" spans="1:10" ht="15.75">
      <c r="A8" s="11"/>
      <c r="B8" s="11"/>
      <c r="C8" s="11"/>
      <c r="D8" s="191"/>
      <c r="E8" s="191"/>
      <c r="F8" s="191"/>
      <c r="G8" s="191"/>
      <c r="H8" s="191"/>
      <c r="I8" s="191"/>
      <c r="J8" s="5"/>
    </row>
    <row r="9" spans="1:10" ht="15.75">
      <c r="A9" s="6" t="s">
        <v>66</v>
      </c>
      <c r="B9" s="7"/>
      <c r="C9" s="7"/>
      <c r="D9" s="34" t="s">
        <v>67</v>
      </c>
      <c r="E9" s="24">
        <v>6</v>
      </c>
      <c r="F9" s="13">
        <v>1</v>
      </c>
      <c r="G9" s="14">
        <v>1</v>
      </c>
      <c r="H9" s="165">
        <f>E9*F9*G9*Ownr_Entr!$C$56</f>
        <v>600</v>
      </c>
      <c r="I9" s="165">
        <f>E9*F9*(1-G9)*Ownr_Entr!$C$56</f>
        <v>0</v>
      </c>
      <c r="J9" s="5"/>
    </row>
    <row r="10" spans="1:10" ht="15.75">
      <c r="A10" s="6" t="s">
        <v>68</v>
      </c>
      <c r="B10" s="8"/>
      <c r="C10" s="35" t="s">
        <v>69</v>
      </c>
      <c r="D10" s="34" t="s">
        <v>70</v>
      </c>
      <c r="E10" s="24">
        <v>2.5</v>
      </c>
      <c r="F10" s="13">
        <v>1</v>
      </c>
      <c r="G10" s="14">
        <v>1</v>
      </c>
      <c r="H10" s="165">
        <f>E10*F10*G10*Ownr_Entr!$C$56</f>
        <v>250</v>
      </c>
      <c r="I10" s="165">
        <f>E10*F10*(1-G10)*Ownr_Entr!$C$56</f>
        <v>0</v>
      </c>
      <c r="J10" s="5"/>
    </row>
    <row r="11" spans="1:10" ht="15.75">
      <c r="A11" s="36" t="s">
        <v>71</v>
      </c>
      <c r="B11" s="8"/>
      <c r="C11" s="8"/>
      <c r="D11" s="34" t="s">
        <v>70</v>
      </c>
      <c r="E11" s="24">
        <v>0</v>
      </c>
      <c r="F11" s="13">
        <v>1</v>
      </c>
      <c r="G11" s="14">
        <v>1</v>
      </c>
      <c r="H11" s="165">
        <f>E11*F11*G11*Ownr_Entr!$C$56</f>
        <v>0</v>
      </c>
      <c r="I11" s="165">
        <f>E11*F11*(1-G11)*Ownr_Entr!$C$56</f>
        <v>0</v>
      </c>
      <c r="J11" s="5"/>
    </row>
    <row r="12" spans="1:10" ht="15.75">
      <c r="A12" s="36" t="s">
        <v>71</v>
      </c>
      <c r="B12" s="8"/>
      <c r="C12" s="8"/>
      <c r="D12" s="34" t="s">
        <v>70</v>
      </c>
      <c r="E12" s="24">
        <v>0</v>
      </c>
      <c r="F12" s="13">
        <v>1</v>
      </c>
      <c r="G12" s="14">
        <v>1</v>
      </c>
      <c r="H12" s="165">
        <f>E12*F12*G12*Ownr_Entr!$C$56</f>
        <v>0</v>
      </c>
      <c r="I12" s="165">
        <f>E12*F12*(1-G12)*Ownr_Entr!$C$56</f>
        <v>0</v>
      </c>
      <c r="J12" s="5"/>
    </row>
    <row r="13" spans="1:10" ht="15.75">
      <c r="A13" s="6" t="s">
        <v>72</v>
      </c>
      <c r="B13" s="7"/>
      <c r="C13" s="37"/>
      <c r="D13" s="34" t="s">
        <v>73</v>
      </c>
      <c r="E13" s="24">
        <v>0</v>
      </c>
      <c r="F13" s="13">
        <v>1</v>
      </c>
      <c r="G13" s="14">
        <v>1</v>
      </c>
      <c r="H13" s="165">
        <f>E13*F13*G13*Ownr_Entr!$C$56</f>
        <v>0</v>
      </c>
      <c r="I13" s="165">
        <f>E13*F13*(1-G13)*Ownr_Entr!$C$56</f>
        <v>0</v>
      </c>
      <c r="J13" s="5"/>
    </row>
    <row r="14" spans="1:10" ht="15.75">
      <c r="A14" s="6" t="s">
        <v>74</v>
      </c>
      <c r="B14" s="8"/>
      <c r="C14" s="35" t="s">
        <v>75</v>
      </c>
      <c r="D14" s="34" t="s">
        <v>76</v>
      </c>
      <c r="E14" s="38">
        <v>0.22</v>
      </c>
      <c r="F14" s="13">
        <v>80</v>
      </c>
      <c r="G14" s="14">
        <v>0.6253</v>
      </c>
      <c r="H14" s="165">
        <f>E14*F14*G14*Ownr_Entr!$C$56</f>
        <v>1100.528</v>
      </c>
      <c r="I14" s="165">
        <f>E14*F14*(1-G14)*Ownr_Entr!$C$56</f>
        <v>659.4720000000001</v>
      </c>
      <c r="J14" s="5"/>
    </row>
    <row r="15" spans="1:10" ht="15.75">
      <c r="A15" s="36" t="s">
        <v>71</v>
      </c>
      <c r="B15" s="8"/>
      <c r="C15" s="35" t="s">
        <v>77</v>
      </c>
      <c r="D15" s="34" t="s">
        <v>76</v>
      </c>
      <c r="E15" s="38">
        <v>0.14</v>
      </c>
      <c r="F15" s="13">
        <v>20</v>
      </c>
      <c r="G15" s="14">
        <v>0.6253</v>
      </c>
      <c r="H15" s="165">
        <f>E15*F15*G15*Ownr_Entr!$C$56</f>
        <v>175.084</v>
      </c>
      <c r="I15" s="165">
        <f>E15*F15*(1-G15)*Ownr_Entr!$C$56</f>
        <v>104.91600000000001</v>
      </c>
      <c r="J15" s="5"/>
    </row>
    <row r="16" spans="1:10" ht="15.75">
      <c r="A16" s="36" t="s">
        <v>71</v>
      </c>
      <c r="B16" s="8"/>
      <c r="C16" s="8"/>
      <c r="D16" s="34" t="s">
        <v>76</v>
      </c>
      <c r="E16" s="38">
        <v>0</v>
      </c>
      <c r="F16" s="13">
        <v>0</v>
      </c>
      <c r="G16" s="14">
        <v>1</v>
      </c>
      <c r="H16" s="165">
        <f>E16*F16*G16*Ownr_Entr!$C$56</f>
        <v>0</v>
      </c>
      <c r="I16" s="165">
        <f>E16*F16*(1-G16)*Ownr_Entr!$C$56</f>
        <v>0</v>
      </c>
      <c r="J16" s="5"/>
    </row>
    <row r="17" spans="1:10" ht="15.75">
      <c r="A17" s="6" t="s">
        <v>78</v>
      </c>
      <c r="B17" s="7"/>
      <c r="C17" s="7"/>
      <c r="D17" s="34" t="s">
        <v>73</v>
      </c>
      <c r="E17" s="24">
        <v>0</v>
      </c>
      <c r="F17" s="13">
        <v>1</v>
      </c>
      <c r="G17" s="14">
        <v>1</v>
      </c>
      <c r="H17" s="165">
        <f>E17*F17*G17*Ownr_Entr!$C$56</f>
        <v>0</v>
      </c>
      <c r="I17" s="165">
        <f>E17*F17*(1-G17)*Ownr_Entr!$C$56</f>
        <v>0</v>
      </c>
      <c r="J17" s="5"/>
    </row>
    <row r="18" spans="1:10" ht="15.75">
      <c r="A18" s="6" t="s">
        <v>79</v>
      </c>
      <c r="B18" s="7"/>
      <c r="C18" s="7"/>
      <c r="D18" s="34" t="s">
        <v>73</v>
      </c>
      <c r="E18" s="24">
        <v>10</v>
      </c>
      <c r="F18" s="13">
        <v>1</v>
      </c>
      <c r="G18" s="14">
        <v>1</v>
      </c>
      <c r="H18" s="165">
        <f>E18*F18*G18*Ownr_Entr!$C$56</f>
        <v>1000</v>
      </c>
      <c r="I18" s="165">
        <f>E18*F18*(1-G18)*Ownr_Entr!$C$56</f>
        <v>0</v>
      </c>
      <c r="J18" s="5"/>
    </row>
    <row r="19" spans="1:10" ht="15.75">
      <c r="A19" s="6" t="s">
        <v>80</v>
      </c>
      <c r="B19" s="7"/>
      <c r="C19" s="7"/>
      <c r="D19" s="34" t="s">
        <v>70</v>
      </c>
      <c r="E19" s="24">
        <v>1.1</v>
      </c>
      <c r="F19" s="13">
        <v>1</v>
      </c>
      <c r="G19" s="14">
        <v>1</v>
      </c>
      <c r="H19" s="165">
        <f>IF(E19&gt;100,E19*F19*G19,+E19*F19*G19*Ownr_Entr!$C$56)</f>
        <v>110.00000000000001</v>
      </c>
      <c r="I19" s="165">
        <f>IF(E19&gt;100,E19*F19*(1-G19),E19*F19*(1-G19)*Ownr_Entr!$C$56)</f>
        <v>0</v>
      </c>
      <c r="J19" s="5"/>
    </row>
    <row r="20" spans="1:10" ht="15.75">
      <c r="A20" s="6" t="s">
        <v>81</v>
      </c>
      <c r="B20" s="7"/>
      <c r="C20" s="7"/>
      <c r="D20" s="39"/>
      <c r="E20" s="40" t="s">
        <v>82</v>
      </c>
      <c r="F20" s="39"/>
      <c r="G20" s="13"/>
      <c r="H20" s="165"/>
      <c r="I20" s="165"/>
      <c r="J20" s="5"/>
    </row>
    <row r="21" spans="1:10" ht="15.75">
      <c r="A21" s="6" t="s">
        <v>83</v>
      </c>
      <c r="B21" s="7"/>
      <c r="C21" s="7"/>
      <c r="D21" s="34" t="s">
        <v>70</v>
      </c>
      <c r="E21" s="24">
        <v>0.55</v>
      </c>
      <c r="F21" s="13">
        <v>1</v>
      </c>
      <c r="G21" s="14">
        <v>1</v>
      </c>
      <c r="H21" s="165">
        <f>IF(E21&gt;100,E21*F21*G21,+E21*F21*G21*Ownr_Entr!$C$56)</f>
        <v>55.00000000000001</v>
      </c>
      <c r="I21" s="165">
        <f>IF(E21&gt;100,E21*F21*(1-G21),E21*F21*(1-G21)*Ownr_Entr!$C$56)</f>
        <v>0</v>
      </c>
      <c r="J21" s="5"/>
    </row>
    <row r="22" spans="1:10" ht="15.75">
      <c r="A22" s="6" t="s">
        <v>84</v>
      </c>
      <c r="B22" s="7"/>
      <c r="C22" s="7"/>
      <c r="D22" s="39"/>
      <c r="E22" s="40" t="s">
        <v>82</v>
      </c>
      <c r="F22" s="39"/>
      <c r="G22" s="13"/>
      <c r="H22" s="165"/>
      <c r="I22" s="165"/>
      <c r="J22" s="5"/>
    </row>
    <row r="23" spans="1:10" ht="15.75">
      <c r="A23" s="6" t="s">
        <v>85</v>
      </c>
      <c r="B23" s="7"/>
      <c r="C23" s="7"/>
      <c r="D23" s="39"/>
      <c r="E23" s="40" t="s">
        <v>82</v>
      </c>
      <c r="F23" s="39"/>
      <c r="G23" s="14"/>
      <c r="H23" s="165"/>
      <c r="I23" s="165"/>
      <c r="J23" s="5"/>
    </row>
    <row r="24" spans="1:10" ht="15.75">
      <c r="A24" s="6" t="s">
        <v>86</v>
      </c>
      <c r="B24" s="7"/>
      <c r="C24" s="7"/>
      <c r="D24" s="34" t="s">
        <v>87</v>
      </c>
      <c r="E24" s="24">
        <v>0</v>
      </c>
      <c r="F24" s="13">
        <v>0</v>
      </c>
      <c r="G24" s="14">
        <v>1</v>
      </c>
      <c r="H24" s="165">
        <f>E24*F24*G24*Ownr_Entr!$C$56</f>
        <v>0</v>
      </c>
      <c r="I24" s="165">
        <f>E24*F24*(1-G24)*Ownr_Entr!$C$56</f>
        <v>0</v>
      </c>
      <c r="J24" s="5"/>
    </row>
    <row r="25" spans="1:10" ht="15.75">
      <c r="A25" s="6" t="s">
        <v>88</v>
      </c>
      <c r="B25" s="7"/>
      <c r="C25" s="7"/>
      <c r="D25" s="34" t="s">
        <v>87</v>
      </c>
      <c r="E25" s="24">
        <v>0</v>
      </c>
      <c r="F25" s="13">
        <v>0</v>
      </c>
      <c r="G25" s="14">
        <v>1</v>
      </c>
      <c r="H25" s="165">
        <f>E25*F25*G25*Ownr_Entr!$C$56</f>
        <v>0</v>
      </c>
      <c r="I25" s="165">
        <f>E25*F25*(1-G25)*Ownr_Entr!$C$56</f>
        <v>0</v>
      </c>
      <c r="J25" s="5"/>
    </row>
    <row r="26" spans="1:10" ht="15.75">
      <c r="A26" s="6" t="s">
        <v>89</v>
      </c>
      <c r="B26" s="7"/>
      <c r="C26" s="7"/>
      <c r="D26" s="34" t="s">
        <v>87</v>
      </c>
      <c r="E26" s="24">
        <v>0</v>
      </c>
      <c r="F26" s="13">
        <v>0</v>
      </c>
      <c r="G26" s="14">
        <v>1</v>
      </c>
      <c r="H26" s="165">
        <f>E26*F26*G26*Ownr_Entr!$C$56</f>
        <v>0</v>
      </c>
      <c r="I26" s="165">
        <f>E26*F26*(1-G26)*Ownr_Entr!$C$56</f>
        <v>0</v>
      </c>
      <c r="J26" s="5"/>
    </row>
    <row r="27" spans="1:10" ht="15.75">
      <c r="A27" s="6" t="s">
        <v>90</v>
      </c>
      <c r="B27" s="7"/>
      <c r="C27" s="7"/>
      <c r="D27" s="187"/>
      <c r="E27" s="188" t="s">
        <v>82</v>
      </c>
      <c r="F27" s="187"/>
      <c r="G27" s="189"/>
      <c r="H27" s="190"/>
      <c r="I27" s="190"/>
      <c r="J27" s="5"/>
    </row>
    <row r="28" spans="1:10" ht="15.75">
      <c r="A28" s="6" t="s">
        <v>91</v>
      </c>
      <c r="B28" s="7"/>
      <c r="C28" s="7"/>
      <c r="D28" s="34" t="s">
        <v>87</v>
      </c>
      <c r="E28" s="24">
        <v>0</v>
      </c>
      <c r="F28" s="13">
        <v>1</v>
      </c>
      <c r="G28" s="49"/>
      <c r="H28" s="167"/>
      <c r="I28" s="165">
        <f>E28*F28*Ownr_Entr!$C$56</f>
        <v>0</v>
      </c>
      <c r="J28" s="5"/>
    </row>
    <row r="29" spans="1:10" ht="15.75">
      <c r="A29" s="6" t="s">
        <v>92</v>
      </c>
      <c r="B29" s="7"/>
      <c r="C29" s="7"/>
      <c r="D29" s="34" t="s">
        <v>87</v>
      </c>
      <c r="E29" s="24">
        <v>8</v>
      </c>
      <c r="F29" s="13">
        <v>0.4</v>
      </c>
      <c r="G29" s="49"/>
      <c r="H29" s="165">
        <f>E29*F29*Ownr_Entr!$C$56</f>
        <v>320</v>
      </c>
      <c r="I29" s="167"/>
      <c r="J29" s="5"/>
    </row>
    <row r="30" spans="1:10" ht="15.75">
      <c r="A30" s="6" t="s">
        <v>93</v>
      </c>
      <c r="B30" s="7"/>
      <c r="C30" s="7"/>
      <c r="D30" s="34" t="s">
        <v>87</v>
      </c>
      <c r="E30" s="24">
        <v>8</v>
      </c>
      <c r="F30" s="13">
        <v>0.1</v>
      </c>
      <c r="G30" s="49"/>
      <c r="H30" s="165">
        <f>E30*F30*Ownr_Entr!$C$56</f>
        <v>80</v>
      </c>
      <c r="I30" s="167"/>
      <c r="J30" s="5"/>
    </row>
    <row r="31" spans="1:10" ht="15.75">
      <c r="A31" s="6" t="s">
        <v>94</v>
      </c>
      <c r="B31" s="7"/>
      <c r="C31" s="7"/>
      <c r="D31" s="34" t="s">
        <v>87</v>
      </c>
      <c r="E31" s="24">
        <v>0</v>
      </c>
      <c r="F31" s="13">
        <v>1</v>
      </c>
      <c r="G31" s="49"/>
      <c r="H31" s="165">
        <f>E31*F31*Ownr_Entr!$C$56</f>
        <v>0</v>
      </c>
      <c r="I31" s="167"/>
      <c r="J31" s="5"/>
    </row>
    <row r="32" spans="1:10" ht="15.75">
      <c r="A32" s="6" t="s">
        <v>95</v>
      </c>
      <c r="B32" s="7"/>
      <c r="C32" s="7"/>
      <c r="D32" s="34" t="s">
        <v>73</v>
      </c>
      <c r="E32" s="24">
        <v>0</v>
      </c>
      <c r="F32" s="13">
        <v>1</v>
      </c>
      <c r="G32" s="14">
        <v>1</v>
      </c>
      <c r="H32" s="165">
        <f>E32*F32*G32*Ownr_Entr!$C$56</f>
        <v>0</v>
      </c>
      <c r="I32" s="165">
        <f>E32*F32*(1-G32)*Ownr_Entr!$C$56</f>
        <v>0</v>
      </c>
      <c r="J32" s="5"/>
    </row>
    <row r="33" spans="1:10" ht="15.75">
      <c r="A33" s="6" t="s">
        <v>96</v>
      </c>
      <c r="B33" s="7"/>
      <c r="C33" s="7"/>
      <c r="D33" s="34" t="s">
        <v>73</v>
      </c>
      <c r="E33" s="24">
        <v>0</v>
      </c>
      <c r="F33" s="13">
        <v>1</v>
      </c>
      <c r="G33" s="14">
        <v>1</v>
      </c>
      <c r="H33" s="165">
        <f>E33*F33*G33*Ownr_Entr!$C$56</f>
        <v>0</v>
      </c>
      <c r="I33" s="165">
        <f>E33*F33*(1-G33)*Ownr_Entr!$C$56</f>
        <v>0</v>
      </c>
      <c r="J33" s="5"/>
    </row>
    <row r="34" spans="1:10" ht="15.75">
      <c r="A34" s="6" t="s">
        <v>97</v>
      </c>
      <c r="B34" s="7"/>
      <c r="C34" s="7"/>
      <c r="D34" s="34" t="s">
        <v>98</v>
      </c>
      <c r="E34" s="49"/>
      <c r="F34" s="50"/>
      <c r="G34" s="51"/>
      <c r="H34" s="165">
        <f>(SUM(H9:H26)+H32+H33)*Ownr_Entr!$B$62/12*$E$35</f>
        <v>197.43672</v>
      </c>
      <c r="I34" s="165">
        <f>(SUM(I9:I26)+I32+I33)*Ownr_Entr!$B$62/12*$E$35</f>
        <v>45.86328000000001</v>
      </c>
      <c r="J34" s="5"/>
    </row>
    <row r="35" spans="1:10" ht="15.75">
      <c r="A35" s="6" t="s">
        <v>99</v>
      </c>
      <c r="B35" s="7"/>
      <c r="C35" s="7"/>
      <c r="D35" s="15"/>
      <c r="E35" s="13">
        <v>6</v>
      </c>
      <c r="F35" s="51"/>
      <c r="G35" s="51"/>
      <c r="H35" s="167"/>
      <c r="I35" s="167"/>
      <c r="J35" s="5"/>
    </row>
    <row r="36" spans="1:10" ht="15.75">
      <c r="A36" s="9" t="s">
        <v>100</v>
      </c>
      <c r="B36" s="11"/>
      <c r="C36" s="11"/>
      <c r="D36" s="191"/>
      <c r="E36" s="191"/>
      <c r="F36" s="191"/>
      <c r="G36" s="191"/>
      <c r="H36" s="192"/>
      <c r="I36" s="192"/>
      <c r="J36" s="5"/>
    </row>
    <row r="37" spans="1:10" ht="15.75">
      <c r="A37" s="6" t="s">
        <v>101</v>
      </c>
      <c r="B37" s="7"/>
      <c r="C37" s="7"/>
      <c r="D37" s="34" t="s">
        <v>73</v>
      </c>
      <c r="E37" s="24">
        <v>8.55</v>
      </c>
      <c r="F37" s="13">
        <v>1</v>
      </c>
      <c r="G37" s="14">
        <v>1</v>
      </c>
      <c r="H37" s="165">
        <f>E37*F37*G37*Ownr_Entr!$C$56</f>
        <v>855.0000000000001</v>
      </c>
      <c r="I37" s="165">
        <f>E37*F37*(1-G37)*Ownr_Entr!$B$56</f>
        <v>0</v>
      </c>
      <c r="J37" s="5"/>
    </row>
    <row r="38" spans="1:10" ht="15.75">
      <c r="A38" s="6" t="s">
        <v>102</v>
      </c>
      <c r="B38" s="7"/>
      <c r="C38" s="7"/>
      <c r="D38" s="34" t="s">
        <v>73</v>
      </c>
      <c r="E38" s="24">
        <v>1.66</v>
      </c>
      <c r="F38" s="13">
        <v>1</v>
      </c>
      <c r="G38" s="14">
        <v>1</v>
      </c>
      <c r="H38" s="165">
        <f>E38*F38*G38*Ownr_Entr!$C$56</f>
        <v>166</v>
      </c>
      <c r="I38" s="165">
        <f>E38*F38*(1-G38)*Ownr_Entr!$B$56</f>
        <v>0</v>
      </c>
      <c r="J38" s="5"/>
    </row>
    <row r="39" spans="1:10" ht="15.75">
      <c r="A39" s="6" t="s">
        <v>103</v>
      </c>
      <c r="B39" s="7"/>
      <c r="C39" s="7"/>
      <c r="D39" s="34" t="s">
        <v>98</v>
      </c>
      <c r="E39" s="49"/>
      <c r="F39" s="52"/>
      <c r="G39" s="49"/>
      <c r="H39" s="165">
        <f>SUM(H37:H38)*Ownr_Entr!$B$62/12*$E$40</f>
        <v>10.21</v>
      </c>
      <c r="I39" s="165">
        <f>SUM(I37:I38)*Ownr_Entr!$B$62/12*$E$40</f>
        <v>0</v>
      </c>
      <c r="J39" s="5"/>
    </row>
    <row r="40" spans="1:10" ht="15.75">
      <c r="A40" s="6" t="s">
        <v>104</v>
      </c>
      <c r="B40" s="7"/>
      <c r="C40" s="7"/>
      <c r="D40" s="15"/>
      <c r="E40" s="13">
        <v>1</v>
      </c>
      <c r="F40" s="51"/>
      <c r="G40" s="51"/>
      <c r="H40" s="51"/>
      <c r="I40" s="51"/>
      <c r="J40" s="5"/>
    </row>
    <row r="41" spans="1:10" ht="15.75">
      <c r="A41" s="9" t="s">
        <v>108</v>
      </c>
      <c r="B41" s="11"/>
      <c r="C41" s="11"/>
      <c r="D41" s="11"/>
      <c r="E41" s="11"/>
      <c r="F41" s="11"/>
      <c r="G41" s="11"/>
      <c r="H41" s="18">
        <f>SUM(H9:H39)</f>
        <v>4919.258720000001</v>
      </c>
      <c r="I41" s="18">
        <f>SUM(I9:I39)</f>
        <v>810.2512800000002</v>
      </c>
      <c r="J41" s="5"/>
    </row>
    <row r="42" spans="1:10" ht="15.75">
      <c r="A42" s="7"/>
      <c r="B42" s="7"/>
      <c r="C42" s="7"/>
      <c r="D42" s="7"/>
      <c r="E42" s="7"/>
      <c r="F42" s="7"/>
      <c r="G42" s="7"/>
      <c r="H42" s="11"/>
      <c r="I42" s="11"/>
      <c r="J42" s="1"/>
    </row>
    <row r="43" spans="1:10" ht="15.75">
      <c r="A43" s="7"/>
      <c r="B43" s="7"/>
      <c r="C43" s="7"/>
      <c r="D43" s="7"/>
      <c r="E43" s="7"/>
      <c r="F43" s="7"/>
      <c r="G43" s="7"/>
      <c r="H43" s="7"/>
      <c r="I43" s="7"/>
      <c r="J43" s="1"/>
    </row>
  </sheetData>
  <printOptions/>
  <pageMargins left="0.75" right="0.75" top="1" bottom="1" header="0.5" footer="0.5"/>
  <pageSetup fitToHeight="1" fitToWidth="1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44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16.59765625" style="0" customWidth="1"/>
    <col min="4" max="4" width="9.8984375" style="0" customWidth="1"/>
    <col min="8" max="8" width="12.59765625" style="0" customWidth="1"/>
    <col min="9" max="9" width="11.09765625" style="0" customWidth="1"/>
  </cols>
  <sheetData>
    <row r="3" spans="1:10" ht="15.75">
      <c r="A3" s="7"/>
      <c r="B3" s="7"/>
      <c r="C3" s="7"/>
      <c r="D3" s="7"/>
      <c r="E3" s="7"/>
      <c r="F3" s="7"/>
      <c r="G3" s="7"/>
      <c r="H3" s="7"/>
      <c r="I3" s="7"/>
      <c r="J3" s="1"/>
    </row>
    <row r="4" spans="1:10" ht="15.75">
      <c r="A4" s="6" t="s">
        <v>45</v>
      </c>
      <c r="B4" s="7"/>
      <c r="C4" s="7"/>
      <c r="D4" s="32" t="s">
        <v>109</v>
      </c>
      <c r="E4" s="11"/>
      <c r="F4" s="11"/>
      <c r="G4" s="11"/>
      <c r="H4" s="11"/>
      <c r="I4" s="11"/>
      <c r="J4" s="5"/>
    </row>
    <row r="5" spans="1:10" ht="15.75">
      <c r="A5" s="11"/>
      <c r="B5" s="11"/>
      <c r="C5" s="11"/>
      <c r="D5" s="12"/>
      <c r="E5" s="19" t="s">
        <v>60</v>
      </c>
      <c r="F5" s="20" t="s">
        <v>61</v>
      </c>
      <c r="G5" s="20" t="s">
        <v>2</v>
      </c>
      <c r="H5" s="20" t="s">
        <v>3</v>
      </c>
      <c r="I5" s="20" t="s">
        <v>3</v>
      </c>
      <c r="J5" s="5"/>
    </row>
    <row r="6" spans="1:10" ht="15.75">
      <c r="A6" s="7"/>
      <c r="B6" s="7"/>
      <c r="C6" s="7"/>
      <c r="D6" s="15"/>
      <c r="E6" s="16" t="s">
        <v>62</v>
      </c>
      <c r="F6" s="10" t="s">
        <v>62</v>
      </c>
      <c r="G6" s="10" t="s">
        <v>8</v>
      </c>
      <c r="H6" s="10" t="s">
        <v>8</v>
      </c>
      <c r="I6" s="10" t="s">
        <v>7</v>
      </c>
      <c r="J6" s="5"/>
    </row>
    <row r="7" spans="1:10" ht="15.75">
      <c r="A7" s="6" t="s">
        <v>63</v>
      </c>
      <c r="B7" s="7"/>
      <c r="C7" s="7"/>
      <c r="D7" s="33" t="s">
        <v>64</v>
      </c>
      <c r="E7" s="16" t="s">
        <v>65</v>
      </c>
      <c r="F7" s="10" t="s">
        <v>65</v>
      </c>
      <c r="G7" s="10" t="s">
        <v>11</v>
      </c>
      <c r="H7" s="10" t="s">
        <v>11</v>
      </c>
      <c r="I7" s="10" t="s">
        <v>11</v>
      </c>
      <c r="J7" s="5"/>
    </row>
    <row r="8" spans="1:10" ht="15.75">
      <c r="A8" s="11"/>
      <c r="B8" s="11"/>
      <c r="C8" s="11"/>
      <c r="D8" s="191"/>
      <c r="E8" s="191"/>
      <c r="F8" s="191"/>
      <c r="G8" s="191"/>
      <c r="H8" s="191"/>
      <c r="I8" s="191"/>
      <c r="J8" s="5"/>
    </row>
    <row r="9" spans="1:10" ht="15.75">
      <c r="A9" s="6" t="s">
        <v>66</v>
      </c>
      <c r="B9" s="7"/>
      <c r="C9" s="7"/>
      <c r="D9" s="34" t="s">
        <v>67</v>
      </c>
      <c r="E9" s="24">
        <v>4.5</v>
      </c>
      <c r="F9" s="13">
        <v>1.5</v>
      </c>
      <c r="G9" s="14">
        <v>1</v>
      </c>
      <c r="H9" s="165">
        <f>E9*F9*G9*Ownr_Entr!$D$56</f>
        <v>675</v>
      </c>
      <c r="I9" s="165">
        <f>E9*F9*(1-G9)*Ownr_Entr!$D$56</f>
        <v>0</v>
      </c>
      <c r="J9" s="5"/>
    </row>
    <row r="10" spans="1:10" ht="15.75">
      <c r="A10" s="6" t="s">
        <v>68</v>
      </c>
      <c r="B10" s="8"/>
      <c r="C10" s="35" t="s">
        <v>69</v>
      </c>
      <c r="D10" s="34" t="s">
        <v>70</v>
      </c>
      <c r="E10" s="24">
        <v>2</v>
      </c>
      <c r="F10" s="13">
        <v>1</v>
      </c>
      <c r="G10" s="14">
        <v>1</v>
      </c>
      <c r="H10" s="165">
        <f>E10*F10*G10*Ownr_Entr!$D$56</f>
        <v>200</v>
      </c>
      <c r="I10" s="165">
        <f>E10*F10*(1-G10)*Ownr_Entr!$D$56</f>
        <v>0</v>
      </c>
      <c r="J10" s="5"/>
    </row>
    <row r="11" spans="1:10" ht="15.75">
      <c r="A11" s="36" t="s">
        <v>71</v>
      </c>
      <c r="B11" s="8"/>
      <c r="C11" s="8"/>
      <c r="D11" s="34" t="s">
        <v>70</v>
      </c>
      <c r="E11" s="24">
        <v>0</v>
      </c>
      <c r="F11" s="13">
        <v>1</v>
      </c>
      <c r="G11" s="14">
        <v>1</v>
      </c>
      <c r="H11" s="165">
        <f>E11*F11*G11*Ownr_Entr!$D$56</f>
        <v>0</v>
      </c>
      <c r="I11" s="165">
        <f>E11*F11*(1-G11)*Ownr_Entr!$D$56</f>
        <v>0</v>
      </c>
      <c r="J11" s="5"/>
    </row>
    <row r="12" spans="1:10" ht="15.75">
      <c r="A12" s="36" t="s">
        <v>71</v>
      </c>
      <c r="B12" s="8"/>
      <c r="C12" s="8"/>
      <c r="D12" s="34" t="s">
        <v>70</v>
      </c>
      <c r="E12" s="24">
        <v>0</v>
      </c>
      <c r="F12" s="13">
        <v>1</v>
      </c>
      <c r="G12" s="14">
        <v>1</v>
      </c>
      <c r="H12" s="165">
        <f>E12*F12*G12*Ownr_Entr!$D$56</f>
        <v>0</v>
      </c>
      <c r="I12" s="165">
        <f>E12*F12*(1-G12)*Ownr_Entr!$D$56</f>
        <v>0</v>
      </c>
      <c r="J12" s="5"/>
    </row>
    <row r="13" spans="1:10" ht="15.75">
      <c r="A13" s="6" t="s">
        <v>72</v>
      </c>
      <c r="B13" s="7"/>
      <c r="C13" s="37"/>
      <c r="D13" s="34" t="s">
        <v>73</v>
      </c>
      <c r="E13" s="24">
        <v>0</v>
      </c>
      <c r="F13" s="13">
        <v>1</v>
      </c>
      <c r="G13" s="14">
        <v>1</v>
      </c>
      <c r="H13" s="165">
        <f>E13*F13*G13*Ownr_Entr!$D$56</f>
        <v>0</v>
      </c>
      <c r="I13" s="165">
        <f>E13*F13*(1-G13)*Ownr_Entr!$D$56</f>
        <v>0</v>
      </c>
      <c r="J13" s="5"/>
    </row>
    <row r="14" spans="1:10" ht="15.75">
      <c r="A14" s="6" t="s">
        <v>74</v>
      </c>
      <c r="B14" s="8"/>
      <c r="C14" s="35" t="s">
        <v>75</v>
      </c>
      <c r="D14" s="34" t="s">
        <v>76</v>
      </c>
      <c r="E14" s="38">
        <v>0.22</v>
      </c>
      <c r="F14" s="13">
        <v>50</v>
      </c>
      <c r="G14" s="14">
        <v>0.6253</v>
      </c>
      <c r="H14" s="165">
        <f>E14*F14*G14*Ownr_Entr!$D$56</f>
        <v>687.8299999999999</v>
      </c>
      <c r="I14" s="165">
        <f>E14*F14*(1-G14)*Ownr_Entr!$D$56</f>
        <v>412.1700000000001</v>
      </c>
      <c r="J14" s="5"/>
    </row>
    <row r="15" spans="1:10" ht="15.75">
      <c r="A15" s="36" t="s">
        <v>71</v>
      </c>
      <c r="B15" s="8"/>
      <c r="C15" s="35" t="s">
        <v>77</v>
      </c>
      <c r="D15" s="34" t="s">
        <v>76</v>
      </c>
      <c r="E15" s="38">
        <v>0.14</v>
      </c>
      <c r="F15" s="13">
        <v>20</v>
      </c>
      <c r="G15" s="14">
        <v>0.6253</v>
      </c>
      <c r="H15" s="165">
        <f>E15*F15*G15*Ownr_Entr!$D$56</f>
        <v>175.084</v>
      </c>
      <c r="I15" s="165">
        <f>E15*F15*(1-G15)*Ownr_Entr!$D$56</f>
        <v>104.91600000000001</v>
      </c>
      <c r="J15" s="5"/>
    </row>
    <row r="16" spans="1:10" ht="15.75">
      <c r="A16" s="36" t="s">
        <v>71</v>
      </c>
      <c r="B16" s="8"/>
      <c r="C16" s="8"/>
      <c r="D16" s="34" t="s">
        <v>76</v>
      </c>
      <c r="E16" s="38">
        <v>0</v>
      </c>
      <c r="F16" s="13">
        <v>0</v>
      </c>
      <c r="G16" s="14">
        <v>1</v>
      </c>
      <c r="H16" s="165">
        <f>E16*F16*G16*Ownr_Entr!$D$56</f>
        <v>0</v>
      </c>
      <c r="I16" s="165">
        <f>E16*F16*(1-G16)*Ownr_Entr!$D$56</f>
        <v>0</v>
      </c>
      <c r="J16" s="5"/>
    </row>
    <row r="17" spans="1:10" ht="15.75">
      <c r="A17" s="6" t="s">
        <v>78</v>
      </c>
      <c r="B17" s="7"/>
      <c r="C17" s="7"/>
      <c r="D17" s="34" t="s">
        <v>73</v>
      </c>
      <c r="E17" s="24">
        <v>0</v>
      </c>
      <c r="F17" s="13">
        <v>1</v>
      </c>
      <c r="G17" s="14">
        <v>1</v>
      </c>
      <c r="H17" s="165">
        <f>E17*F17*G17*Ownr_Entr!$D$56</f>
        <v>0</v>
      </c>
      <c r="I17" s="165">
        <f>E17*F17*(1-G17)*Ownr_Entr!$D$56</f>
        <v>0</v>
      </c>
      <c r="J17" s="5"/>
    </row>
    <row r="18" spans="1:10" ht="15.75">
      <c r="A18" s="6" t="s">
        <v>79</v>
      </c>
      <c r="B18" s="7"/>
      <c r="C18" s="7"/>
      <c r="D18" s="34" t="s">
        <v>73</v>
      </c>
      <c r="E18" s="24">
        <v>10</v>
      </c>
      <c r="F18" s="13">
        <v>1</v>
      </c>
      <c r="G18" s="14">
        <v>1</v>
      </c>
      <c r="H18" s="165">
        <f>E18*F18*G18*Ownr_Entr!$D$56</f>
        <v>1000</v>
      </c>
      <c r="I18" s="165">
        <f>E18*F18*(1-G18)*Ownr_Entr!$D$56</f>
        <v>0</v>
      </c>
      <c r="J18" s="5"/>
    </row>
    <row r="19" spans="1:10" ht="15.75">
      <c r="A19" s="6" t="s">
        <v>80</v>
      </c>
      <c r="B19" s="7"/>
      <c r="C19" s="7"/>
      <c r="D19" s="34" t="s">
        <v>70</v>
      </c>
      <c r="E19" s="24">
        <v>1.1</v>
      </c>
      <c r="F19" s="13">
        <v>1</v>
      </c>
      <c r="G19" s="14">
        <v>1</v>
      </c>
      <c r="H19" s="165">
        <f>IF(E19&gt;100,E19*F19*G19,+E19*F19*G19*Ownr_Entr!$D$56)</f>
        <v>110.00000000000001</v>
      </c>
      <c r="I19" s="165">
        <f>IF(E19&gt;100,E19*F19*(1-G19),+E19*F19*(1-G19)*Ownr_Entr!$D$56)</f>
        <v>0</v>
      </c>
      <c r="J19" s="5"/>
    </row>
    <row r="20" spans="1:10" ht="15.75">
      <c r="A20" s="6" t="s">
        <v>81</v>
      </c>
      <c r="B20" s="7"/>
      <c r="C20" s="7"/>
      <c r="D20" s="39"/>
      <c r="E20" s="40" t="s">
        <v>82</v>
      </c>
      <c r="F20" s="39"/>
      <c r="G20" s="13"/>
      <c r="H20" s="165"/>
      <c r="I20" s="165"/>
      <c r="J20" s="5"/>
    </row>
    <row r="21" spans="1:10" ht="15.75">
      <c r="A21" s="6" t="s">
        <v>83</v>
      </c>
      <c r="B21" s="7"/>
      <c r="C21" s="7"/>
      <c r="D21" s="34" t="s">
        <v>70</v>
      </c>
      <c r="E21" s="24">
        <v>0.55</v>
      </c>
      <c r="F21" s="13">
        <v>1</v>
      </c>
      <c r="G21" s="14">
        <v>1</v>
      </c>
      <c r="H21" s="165">
        <f>IF(E21&gt;100,E21*F21*G21,+E21*F21*G21*Ownr_Entr!$D$56)</f>
        <v>55.00000000000001</v>
      </c>
      <c r="I21" s="165">
        <f>IF(E21&gt;100,E21*F21*(1-G21),+E21*F21*(1-G21)*Ownr_Entr!$D$56)</f>
        <v>0</v>
      </c>
      <c r="J21" s="5"/>
    </row>
    <row r="22" spans="1:10" ht="15.75">
      <c r="A22" s="6" t="s">
        <v>84</v>
      </c>
      <c r="B22" s="7"/>
      <c r="C22" s="7"/>
      <c r="D22" s="39"/>
      <c r="E22" s="40" t="s">
        <v>82</v>
      </c>
      <c r="F22" s="39"/>
      <c r="G22" s="13"/>
      <c r="H22" s="165"/>
      <c r="I22" s="165"/>
      <c r="J22" s="5"/>
    </row>
    <row r="23" spans="1:10" ht="15.75">
      <c r="A23" s="6" t="s">
        <v>85</v>
      </c>
      <c r="B23" s="7"/>
      <c r="C23" s="7"/>
      <c r="D23" s="39"/>
      <c r="E23" s="40" t="s">
        <v>82</v>
      </c>
      <c r="F23" s="39"/>
      <c r="G23" s="14"/>
      <c r="H23" s="165"/>
      <c r="I23" s="165"/>
      <c r="J23" s="5"/>
    </row>
    <row r="24" spans="1:10" ht="15.75">
      <c r="A24" s="6" t="s">
        <v>86</v>
      </c>
      <c r="B24" s="7"/>
      <c r="C24" s="7"/>
      <c r="D24" s="34" t="s">
        <v>87</v>
      </c>
      <c r="E24" s="24">
        <v>0</v>
      </c>
      <c r="F24" s="13">
        <v>0</v>
      </c>
      <c r="G24" s="14">
        <v>1</v>
      </c>
      <c r="H24" s="165">
        <f>E24*F24*G24*Ownr_Entr!$D$56</f>
        <v>0</v>
      </c>
      <c r="I24" s="165">
        <f>E24*F24*(1-G24)*Ownr_Entr!$D$56</f>
        <v>0</v>
      </c>
      <c r="J24" s="5"/>
    </row>
    <row r="25" spans="1:10" ht="15.75">
      <c r="A25" s="6" t="s">
        <v>88</v>
      </c>
      <c r="B25" s="7"/>
      <c r="C25" s="7"/>
      <c r="D25" s="34" t="s">
        <v>87</v>
      </c>
      <c r="E25" s="24">
        <v>0</v>
      </c>
      <c r="F25" s="13">
        <v>0</v>
      </c>
      <c r="G25" s="14">
        <v>1</v>
      </c>
      <c r="H25" s="165">
        <f>E25*F25*G25*Ownr_Entr!$D$56</f>
        <v>0</v>
      </c>
      <c r="I25" s="165">
        <f>E25*F25*(1-G25)*Ownr_Entr!$D$56</f>
        <v>0</v>
      </c>
      <c r="J25" s="5"/>
    </row>
    <row r="26" spans="1:10" ht="15.75">
      <c r="A26" s="6" t="s">
        <v>89</v>
      </c>
      <c r="B26" s="7"/>
      <c r="C26" s="7"/>
      <c r="D26" s="34" t="s">
        <v>87</v>
      </c>
      <c r="E26" s="24">
        <v>0</v>
      </c>
      <c r="F26" s="13">
        <v>0</v>
      </c>
      <c r="G26" s="14">
        <v>1</v>
      </c>
      <c r="H26" s="165">
        <f>E26*F26*G26*Ownr_Entr!$D$56</f>
        <v>0</v>
      </c>
      <c r="I26" s="165">
        <f>E26*F26*(1-G26)*Ownr_Entr!$D$56</f>
        <v>0</v>
      </c>
      <c r="J26" s="5"/>
    </row>
    <row r="27" spans="1:10" ht="15.75">
      <c r="A27" s="6" t="s">
        <v>90</v>
      </c>
      <c r="B27" s="7"/>
      <c r="C27" s="7"/>
      <c r="D27" s="187"/>
      <c r="E27" s="188" t="s">
        <v>82</v>
      </c>
      <c r="F27" s="187"/>
      <c r="G27" s="189"/>
      <c r="H27" s="190"/>
      <c r="I27" s="190"/>
      <c r="J27" s="5"/>
    </row>
    <row r="28" spans="1:10" ht="15.75">
      <c r="A28" s="6" t="s">
        <v>91</v>
      </c>
      <c r="B28" s="7"/>
      <c r="C28" s="7"/>
      <c r="D28" s="34" t="s">
        <v>87</v>
      </c>
      <c r="E28" s="24">
        <v>0</v>
      </c>
      <c r="F28" s="13">
        <v>1</v>
      </c>
      <c r="G28" s="49"/>
      <c r="H28" s="167"/>
      <c r="I28" s="165">
        <f>E28*F28*Ownr_Entr!$D$56</f>
        <v>0</v>
      </c>
      <c r="J28" s="5"/>
    </row>
    <row r="29" spans="1:10" ht="15.75">
      <c r="A29" s="6" t="s">
        <v>92</v>
      </c>
      <c r="B29" s="7"/>
      <c r="C29" s="7"/>
      <c r="D29" s="34" t="s">
        <v>87</v>
      </c>
      <c r="E29" s="24">
        <v>8</v>
      </c>
      <c r="F29" s="13">
        <v>0.4</v>
      </c>
      <c r="G29" s="49"/>
      <c r="H29" s="165">
        <f>E29*F29*Ownr_Entr!$D$56</f>
        <v>320</v>
      </c>
      <c r="I29" s="167"/>
      <c r="J29" s="5"/>
    </row>
    <row r="30" spans="1:10" ht="15.75">
      <c r="A30" s="6" t="s">
        <v>93</v>
      </c>
      <c r="B30" s="7"/>
      <c r="C30" s="7"/>
      <c r="D30" s="34" t="s">
        <v>87</v>
      </c>
      <c r="E30" s="24">
        <v>8</v>
      </c>
      <c r="F30" s="13">
        <v>0.1</v>
      </c>
      <c r="G30" s="49"/>
      <c r="H30" s="165">
        <f>E30*F30*Ownr_Entr!$D$56</f>
        <v>80</v>
      </c>
      <c r="I30" s="167"/>
      <c r="J30" s="5"/>
    </row>
    <row r="31" spans="1:10" ht="15.75">
      <c r="A31" s="6" t="s">
        <v>94</v>
      </c>
      <c r="B31" s="7"/>
      <c r="C31" s="7"/>
      <c r="D31" s="34" t="s">
        <v>87</v>
      </c>
      <c r="E31" s="24">
        <v>0</v>
      </c>
      <c r="F31" s="13">
        <v>1</v>
      </c>
      <c r="G31" s="49"/>
      <c r="H31" s="165">
        <f>E31*F31*Ownr_Entr!$D$56</f>
        <v>0</v>
      </c>
      <c r="I31" s="167"/>
      <c r="J31" s="5"/>
    </row>
    <row r="32" spans="1:10" ht="15.75">
      <c r="A32" s="6" t="s">
        <v>95</v>
      </c>
      <c r="B32" s="7"/>
      <c r="C32" s="7"/>
      <c r="D32" s="34" t="s">
        <v>73</v>
      </c>
      <c r="E32" s="24">
        <v>0</v>
      </c>
      <c r="F32" s="13">
        <v>1</v>
      </c>
      <c r="G32" s="14">
        <v>1</v>
      </c>
      <c r="H32" s="165">
        <f>E32*F32*G32*Ownr_Entr!$D$56</f>
        <v>0</v>
      </c>
      <c r="I32" s="165">
        <f>E32*F32*(1-G32)*Ownr_Entr!$D$56</f>
        <v>0</v>
      </c>
      <c r="J32" s="5"/>
    </row>
    <row r="33" spans="1:10" ht="15.75">
      <c r="A33" s="6" t="s">
        <v>96</v>
      </c>
      <c r="B33" s="7"/>
      <c r="C33" s="7"/>
      <c r="D33" s="34" t="s">
        <v>73</v>
      </c>
      <c r="E33" s="24">
        <v>0</v>
      </c>
      <c r="F33" s="13">
        <v>1</v>
      </c>
      <c r="G33" s="14">
        <v>1</v>
      </c>
      <c r="H33" s="165">
        <f>E33*F33*G33*Ownr_Entr!$D$56</f>
        <v>0</v>
      </c>
      <c r="I33" s="165">
        <f>E33*F33*(1-G33)*Ownr_Entr!$D$56</f>
        <v>0</v>
      </c>
      <c r="J33" s="5"/>
    </row>
    <row r="34" spans="1:10" ht="15.75">
      <c r="A34" s="6" t="s">
        <v>110</v>
      </c>
      <c r="B34" s="7"/>
      <c r="C34" s="7"/>
      <c r="D34" s="34" t="s">
        <v>98</v>
      </c>
      <c r="E34" s="49"/>
      <c r="F34" s="50"/>
      <c r="G34" s="51"/>
      <c r="H34" s="165">
        <f>(SUM(H9:H26)+H32+H33)*Ownr_Entr!$B$62/12*$E$35</f>
        <v>87.08742</v>
      </c>
      <c r="I34" s="165">
        <f>(SUM(I9:I26)+I32+I33)*Ownr_Entr!$B$62/12*$E$35</f>
        <v>15.512580000000003</v>
      </c>
      <c r="J34" s="5"/>
    </row>
    <row r="35" spans="1:10" ht="15.75">
      <c r="A35" s="6" t="s">
        <v>99</v>
      </c>
      <c r="B35" s="7"/>
      <c r="C35" s="7"/>
      <c r="D35" s="39"/>
      <c r="E35" s="13">
        <v>3</v>
      </c>
      <c r="F35" s="51"/>
      <c r="G35" s="51"/>
      <c r="H35" s="167"/>
      <c r="I35" s="167"/>
      <c r="J35" s="5"/>
    </row>
    <row r="36" spans="1:10" ht="15.75">
      <c r="A36" s="9" t="s">
        <v>100</v>
      </c>
      <c r="B36" s="11"/>
      <c r="C36" s="11"/>
      <c r="D36" s="193"/>
      <c r="E36" s="191"/>
      <c r="F36" s="191"/>
      <c r="G36" s="191"/>
      <c r="H36" s="192"/>
      <c r="I36" s="192"/>
      <c r="J36" s="5"/>
    </row>
    <row r="37" spans="1:10" ht="15.75">
      <c r="A37" s="6" t="s">
        <v>101</v>
      </c>
      <c r="B37" s="7"/>
      <c r="C37" s="7"/>
      <c r="D37" s="34" t="s">
        <v>73</v>
      </c>
      <c r="E37" s="24">
        <v>8.55</v>
      </c>
      <c r="F37" s="13">
        <v>1</v>
      </c>
      <c r="G37" s="14">
        <v>1</v>
      </c>
      <c r="H37" s="165">
        <f>E37*F37*G37*Ownr_Entr!$D$56</f>
        <v>855.0000000000001</v>
      </c>
      <c r="I37" s="165">
        <f>E37*F37*(1-G37)*Ownr_Entr!$D$56</f>
        <v>0</v>
      </c>
      <c r="J37" s="5"/>
    </row>
    <row r="38" spans="1:10" ht="15.75">
      <c r="A38" s="6" t="s">
        <v>102</v>
      </c>
      <c r="B38" s="7"/>
      <c r="C38" s="7"/>
      <c r="D38" s="34" t="s">
        <v>73</v>
      </c>
      <c r="E38" s="24">
        <v>1.66</v>
      </c>
      <c r="F38" s="13">
        <v>1</v>
      </c>
      <c r="G38" s="14">
        <v>1</v>
      </c>
      <c r="H38" s="165">
        <f>E38*F38*G38*Ownr_Entr!$D$56</f>
        <v>166</v>
      </c>
      <c r="I38" s="165">
        <f>E38*F38*(1-G38)*Ownr_Entr!$D$56</f>
        <v>0</v>
      </c>
      <c r="J38" s="5"/>
    </row>
    <row r="39" spans="1:10" ht="15.75">
      <c r="A39" s="6" t="s">
        <v>103</v>
      </c>
      <c r="B39" s="7"/>
      <c r="C39" s="7"/>
      <c r="D39" s="34" t="s">
        <v>98</v>
      </c>
      <c r="E39" s="49"/>
      <c r="F39" s="51"/>
      <c r="G39" s="49"/>
      <c r="H39" s="165">
        <f>SUM(H37:H38)*Ownr_Entr!$B$62/12*$E$40</f>
        <v>10.21</v>
      </c>
      <c r="I39" s="165">
        <f>SUM(I37:I38)*Ownr_Entr!$B$62/12*$E$40</f>
        <v>0</v>
      </c>
      <c r="J39" s="5"/>
    </row>
    <row r="40" spans="1:10" ht="15.75">
      <c r="A40" s="6" t="s">
        <v>104</v>
      </c>
      <c r="B40" s="7"/>
      <c r="C40" s="7"/>
      <c r="D40" s="15"/>
      <c r="E40" s="13">
        <v>1</v>
      </c>
      <c r="F40" s="51"/>
      <c r="G40" s="51"/>
      <c r="H40" s="51"/>
      <c r="I40" s="51"/>
      <c r="J40" s="5"/>
    </row>
    <row r="41" spans="1:10" ht="15.75">
      <c r="A41" s="9" t="s">
        <v>111</v>
      </c>
      <c r="B41" s="11"/>
      <c r="C41" s="11"/>
      <c r="D41" s="11"/>
      <c r="E41" s="11"/>
      <c r="F41" s="11"/>
      <c r="G41" s="11"/>
      <c r="H41" s="18">
        <f>SUM(H9:H39)</f>
        <v>4421.21142</v>
      </c>
      <c r="I41" s="18">
        <f>SUM(I9:I39)</f>
        <v>532.5985800000001</v>
      </c>
      <c r="J41" s="5"/>
    </row>
    <row r="42" spans="1:10" ht="15.75">
      <c r="A42" s="7"/>
      <c r="B42" s="7"/>
      <c r="C42" s="7"/>
      <c r="D42" s="7"/>
      <c r="E42" s="7"/>
      <c r="F42" s="7"/>
      <c r="G42" s="7"/>
      <c r="H42" s="11"/>
      <c r="I42" s="11"/>
      <c r="J42" s="1"/>
    </row>
    <row r="43" spans="1:10" ht="15.75">
      <c r="A43" s="7"/>
      <c r="B43" s="7"/>
      <c r="C43" s="7"/>
      <c r="D43" s="7"/>
      <c r="E43" s="7"/>
      <c r="F43" s="7"/>
      <c r="G43" s="7"/>
      <c r="H43" s="7"/>
      <c r="I43" s="7"/>
      <c r="J43" s="1"/>
    </row>
    <row r="44" spans="1:10" ht="15.75">
      <c r="A44" s="7"/>
      <c r="B44" s="7"/>
      <c r="C44" s="7"/>
      <c r="D44" s="7"/>
      <c r="E44" s="7"/>
      <c r="F44" s="7"/>
      <c r="G44" s="7"/>
      <c r="H44" s="7"/>
      <c r="I44" s="7"/>
      <c r="J44" s="1"/>
    </row>
  </sheetData>
  <printOptions/>
  <pageMargins left="0.75" right="0.75" top="1" bottom="1" header="0.5" footer="0.5"/>
  <pageSetup fitToHeight="1" fitToWidth="1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J33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13.09765625" style="0" customWidth="1"/>
    <col min="4" max="4" width="9.69921875" style="0" customWidth="1"/>
    <col min="8" max="8" width="13" style="0" customWidth="1"/>
    <col min="9" max="9" width="12" style="0" customWidth="1"/>
  </cols>
  <sheetData>
    <row r="3" spans="1:10" ht="15.75">
      <c r="A3" s="7"/>
      <c r="B3" s="7"/>
      <c r="C3" s="7"/>
      <c r="D3" s="7"/>
      <c r="E3" s="7"/>
      <c r="F3" s="7"/>
      <c r="G3" s="7"/>
      <c r="H3" s="7"/>
      <c r="I3" s="7"/>
      <c r="J3" s="1"/>
    </row>
    <row r="4" spans="1:10" ht="15.75">
      <c r="A4" s="6" t="s">
        <v>112</v>
      </c>
      <c r="B4" s="7"/>
      <c r="C4" s="7"/>
      <c r="D4" s="32" t="s">
        <v>113</v>
      </c>
      <c r="E4" s="11"/>
      <c r="F4" s="11"/>
      <c r="G4" s="11"/>
      <c r="H4" s="11"/>
      <c r="I4" s="11"/>
      <c r="J4" s="5"/>
    </row>
    <row r="5" spans="1:10" ht="15.75">
      <c r="A5" s="11"/>
      <c r="B5" s="11"/>
      <c r="C5" s="11"/>
      <c r="D5" s="12"/>
      <c r="E5" s="19" t="s">
        <v>60</v>
      </c>
      <c r="F5" s="20" t="s">
        <v>61</v>
      </c>
      <c r="G5" s="20" t="s">
        <v>2</v>
      </c>
      <c r="H5" s="20" t="s">
        <v>3</v>
      </c>
      <c r="I5" s="20" t="s">
        <v>3</v>
      </c>
      <c r="J5" s="5"/>
    </row>
    <row r="6" spans="1:10" ht="15.75">
      <c r="A6" s="7"/>
      <c r="B6" s="7"/>
      <c r="C6" s="7"/>
      <c r="D6" s="15"/>
      <c r="E6" s="16" t="s">
        <v>62</v>
      </c>
      <c r="F6" s="10" t="s">
        <v>62</v>
      </c>
      <c r="G6" s="10" t="s">
        <v>8</v>
      </c>
      <c r="H6" s="10" t="s">
        <v>8</v>
      </c>
      <c r="I6" s="10" t="s">
        <v>7</v>
      </c>
      <c r="J6" s="5"/>
    </row>
    <row r="7" spans="1:10" ht="15.75">
      <c r="A7" s="6" t="s">
        <v>114</v>
      </c>
      <c r="B7" s="7"/>
      <c r="C7" s="7"/>
      <c r="D7" s="33" t="s">
        <v>64</v>
      </c>
      <c r="E7" s="16" t="s">
        <v>65</v>
      </c>
      <c r="F7" s="10" t="s">
        <v>65</v>
      </c>
      <c r="G7" s="10" t="s">
        <v>11</v>
      </c>
      <c r="H7" s="10" t="s">
        <v>11</v>
      </c>
      <c r="I7" s="10" t="s">
        <v>11</v>
      </c>
      <c r="J7" s="5"/>
    </row>
    <row r="8" spans="1:10" ht="15.75">
      <c r="A8" s="11"/>
      <c r="B8" s="11"/>
      <c r="C8" s="11"/>
      <c r="D8" s="191"/>
      <c r="E8" s="191"/>
      <c r="F8" s="191"/>
      <c r="G8" s="191"/>
      <c r="H8" s="191"/>
      <c r="I8" s="191"/>
      <c r="J8" s="5"/>
    </row>
    <row r="9" spans="1:10" ht="15.75">
      <c r="A9" s="6" t="s">
        <v>115</v>
      </c>
      <c r="B9" s="8"/>
      <c r="C9" s="35" t="s">
        <v>69</v>
      </c>
      <c r="D9" s="34" t="s">
        <v>70</v>
      </c>
      <c r="E9" s="24">
        <v>0</v>
      </c>
      <c r="F9" s="13">
        <v>1</v>
      </c>
      <c r="G9" s="14">
        <v>1</v>
      </c>
      <c r="H9" s="165">
        <f>E9*F9*G9*Ownr_Entr!$E$56</f>
        <v>0</v>
      </c>
      <c r="I9" s="165">
        <f>E9*F9*(1-G9)*Ownr_Entr!$E$56</f>
        <v>0</v>
      </c>
      <c r="J9" s="5"/>
    </row>
    <row r="10" spans="1:10" ht="15.75">
      <c r="A10" s="36" t="s">
        <v>71</v>
      </c>
      <c r="B10" s="8"/>
      <c r="C10" s="8"/>
      <c r="D10" s="34" t="s">
        <v>70</v>
      </c>
      <c r="E10" s="24">
        <v>0</v>
      </c>
      <c r="F10" s="13">
        <v>1</v>
      </c>
      <c r="G10" s="14">
        <v>1</v>
      </c>
      <c r="H10" s="165">
        <f>E10*F10*G10*Ownr_Entr!$E$56</f>
        <v>0</v>
      </c>
      <c r="I10" s="165">
        <f>E10*F10*(1-G10)*Ownr_Entr!$E$56</f>
        <v>0</v>
      </c>
      <c r="J10" s="5"/>
    </row>
    <row r="11" spans="1:10" ht="15.75">
      <c r="A11" s="36" t="s">
        <v>71</v>
      </c>
      <c r="B11" s="8"/>
      <c r="C11" s="8"/>
      <c r="D11" s="34" t="s">
        <v>70</v>
      </c>
      <c r="E11" s="24">
        <v>0</v>
      </c>
      <c r="F11" s="13">
        <v>1</v>
      </c>
      <c r="G11" s="14">
        <v>1</v>
      </c>
      <c r="H11" s="165">
        <f>E11*F11*G11*Ownr_Entr!$E$56</f>
        <v>0</v>
      </c>
      <c r="I11" s="165">
        <f>E11*F11*(1-G11)*Ownr_Entr!$E$56</f>
        <v>0</v>
      </c>
      <c r="J11" s="5"/>
    </row>
    <row r="12" spans="1:10" ht="15.75">
      <c r="A12" s="6" t="s">
        <v>116</v>
      </c>
      <c r="B12" s="7"/>
      <c r="C12" s="7"/>
      <c r="D12" s="34" t="s">
        <v>73</v>
      </c>
      <c r="E12" s="24">
        <v>0</v>
      </c>
      <c r="F12" s="13">
        <v>1</v>
      </c>
      <c r="G12" s="14">
        <v>1</v>
      </c>
      <c r="H12" s="165">
        <f>E12*F12*G12*Ownr_Entr!$E$56</f>
        <v>0</v>
      </c>
      <c r="I12" s="165">
        <f>E12*F12*(1-G12)*Ownr_Entr!$E$56</f>
        <v>0</v>
      </c>
      <c r="J12" s="5"/>
    </row>
    <row r="13" spans="1:10" ht="15.75">
      <c r="A13" s="6" t="s">
        <v>117</v>
      </c>
      <c r="B13" s="7"/>
      <c r="C13" s="7"/>
      <c r="D13" s="34" t="s">
        <v>70</v>
      </c>
      <c r="E13" s="24">
        <v>0.9</v>
      </c>
      <c r="F13" s="13">
        <v>1</v>
      </c>
      <c r="G13" s="14">
        <v>1</v>
      </c>
      <c r="H13" s="165">
        <f>IF(E13&gt;100,E13*F13*G13,+E13*F13*G13*Ownr_Entr!$E$56)</f>
        <v>630</v>
      </c>
      <c r="I13" s="165">
        <f>IF(E13&gt;100,E13*F13*(1-G13),+E13*F13*(1-G13)*Ownr_Entr!$E$56)</f>
        <v>0</v>
      </c>
      <c r="J13" s="5"/>
    </row>
    <row r="14" spans="1:10" ht="15.75">
      <c r="A14" s="6" t="s">
        <v>81</v>
      </c>
      <c r="B14" s="7"/>
      <c r="C14" s="7"/>
      <c r="D14" s="39"/>
      <c r="E14" s="40" t="s">
        <v>82</v>
      </c>
      <c r="F14" s="39"/>
      <c r="G14" s="13"/>
      <c r="H14" s="165"/>
      <c r="I14" s="165"/>
      <c r="J14" s="5"/>
    </row>
    <row r="15" spans="1:10" ht="15.75">
      <c r="A15" s="6" t="s">
        <v>118</v>
      </c>
      <c r="B15" s="7"/>
      <c r="C15" s="7"/>
      <c r="D15" s="34" t="s">
        <v>70</v>
      </c>
      <c r="E15" s="24">
        <v>0.5</v>
      </c>
      <c r="F15" s="13">
        <v>1</v>
      </c>
      <c r="G15" s="14">
        <v>1</v>
      </c>
      <c r="H15" s="165">
        <f>IF(E15&gt;100,E15*F15*G15,+E15*F15*G15*Ownr_Entr!$E$56)</f>
        <v>350</v>
      </c>
      <c r="I15" s="165">
        <f>IF(E15&gt;100,E15*F15*(1-G15),+E15*F15*(1-G15)*Ownr_Entr!$E$56)</f>
        <v>0</v>
      </c>
      <c r="J15" s="5"/>
    </row>
    <row r="16" spans="1:10" ht="15.75">
      <c r="A16" s="6" t="s">
        <v>84</v>
      </c>
      <c r="B16" s="7"/>
      <c r="C16" s="7"/>
      <c r="D16" s="39"/>
      <c r="E16" s="40" t="s">
        <v>82</v>
      </c>
      <c r="F16" s="39"/>
      <c r="G16" s="13"/>
      <c r="H16" s="165"/>
      <c r="I16" s="165"/>
      <c r="J16" s="5"/>
    </row>
    <row r="17" spans="1:10" ht="15.75">
      <c r="A17" s="6" t="s">
        <v>119</v>
      </c>
      <c r="B17" s="7"/>
      <c r="C17" s="7"/>
      <c r="D17" s="39"/>
      <c r="E17" s="40" t="s">
        <v>82</v>
      </c>
      <c r="F17" s="39"/>
      <c r="G17" s="14"/>
      <c r="H17" s="165"/>
      <c r="I17" s="165"/>
      <c r="J17" s="5"/>
    </row>
    <row r="18" spans="1:10" ht="15.75">
      <c r="A18" s="6" t="s">
        <v>86</v>
      </c>
      <c r="B18" s="7"/>
      <c r="C18" s="7"/>
      <c r="D18" s="34" t="s">
        <v>87</v>
      </c>
      <c r="E18" s="24">
        <v>0</v>
      </c>
      <c r="F18" s="13">
        <v>0</v>
      </c>
      <c r="G18" s="14">
        <v>1</v>
      </c>
      <c r="H18" s="165">
        <f>E18*F18*G18*Ownr_Entr!$E$56</f>
        <v>0</v>
      </c>
      <c r="I18" s="165">
        <f>E18*F18*(1-G18)*Ownr_Entr!$E$56</f>
        <v>0</v>
      </c>
      <c r="J18" s="5"/>
    </row>
    <row r="19" spans="1:10" ht="15.75">
      <c r="A19" s="6" t="s">
        <v>88</v>
      </c>
      <c r="B19" s="7"/>
      <c r="C19" s="7"/>
      <c r="D19" s="34" t="s">
        <v>87</v>
      </c>
      <c r="E19" s="24">
        <v>0</v>
      </c>
      <c r="F19" s="13">
        <v>0</v>
      </c>
      <c r="G19" s="14">
        <v>1</v>
      </c>
      <c r="H19" s="165">
        <f>E19*F19*G19*Ownr_Entr!$E$56</f>
        <v>0</v>
      </c>
      <c r="I19" s="165">
        <f>E19*F19*(1-G19)*Ownr_Entr!$E$56</f>
        <v>0</v>
      </c>
      <c r="J19" s="5"/>
    </row>
    <row r="20" spans="1:10" ht="15.75">
      <c r="A20" s="6" t="s">
        <v>89</v>
      </c>
      <c r="B20" s="7"/>
      <c r="C20" s="7"/>
      <c r="D20" s="34" t="s">
        <v>87</v>
      </c>
      <c r="E20" s="24">
        <v>0</v>
      </c>
      <c r="F20" s="13">
        <v>0</v>
      </c>
      <c r="G20" s="14">
        <v>1</v>
      </c>
      <c r="H20" s="165">
        <f>E20*F20*G20*Ownr_Entr!$E$56</f>
        <v>0</v>
      </c>
      <c r="I20" s="165">
        <f>E20*F20*(1-G20)*Ownr_Entr!$E$56</f>
        <v>0</v>
      </c>
      <c r="J20" s="5"/>
    </row>
    <row r="21" spans="1:10" ht="15.75">
      <c r="A21" s="6" t="s">
        <v>120</v>
      </c>
      <c r="B21" s="7"/>
      <c r="C21" s="7"/>
      <c r="D21" s="187"/>
      <c r="E21" s="188" t="s">
        <v>82</v>
      </c>
      <c r="F21" s="187"/>
      <c r="G21" s="189"/>
      <c r="H21" s="190"/>
      <c r="I21" s="190"/>
      <c r="J21" s="5"/>
    </row>
    <row r="22" spans="1:10" ht="15.75">
      <c r="A22" s="6" t="s">
        <v>91</v>
      </c>
      <c r="B22" s="7"/>
      <c r="C22" s="7"/>
      <c r="D22" s="34" t="s">
        <v>87</v>
      </c>
      <c r="E22" s="24">
        <v>0</v>
      </c>
      <c r="F22" s="13">
        <v>1</v>
      </c>
      <c r="G22" s="49"/>
      <c r="H22" s="167"/>
      <c r="I22" s="165">
        <f>E22*F22*Ownr_Entr!$E$56</f>
        <v>0</v>
      </c>
      <c r="J22" s="5"/>
    </row>
    <row r="23" spans="1:10" ht="15.75">
      <c r="A23" s="6" t="s">
        <v>92</v>
      </c>
      <c r="B23" s="7"/>
      <c r="C23" s="7"/>
      <c r="D23" s="34" t="s">
        <v>87</v>
      </c>
      <c r="E23" s="24">
        <v>8</v>
      </c>
      <c r="F23" s="13">
        <v>0.1</v>
      </c>
      <c r="G23" s="49"/>
      <c r="H23" s="165">
        <f>E23*F23*Ownr_Entr!$E$56</f>
        <v>560</v>
      </c>
      <c r="I23" s="167"/>
      <c r="J23" s="5"/>
    </row>
    <row r="24" spans="1:10" ht="15.75">
      <c r="A24" s="6" t="s">
        <v>93</v>
      </c>
      <c r="B24" s="7"/>
      <c r="C24" s="7"/>
      <c r="D24" s="34" t="s">
        <v>87</v>
      </c>
      <c r="E24" s="24">
        <v>8</v>
      </c>
      <c r="F24" s="13">
        <v>0.4</v>
      </c>
      <c r="G24" s="49"/>
      <c r="H24" s="165">
        <f>E24*F24*Ownr_Entr!$E$56</f>
        <v>2240</v>
      </c>
      <c r="I24" s="167"/>
      <c r="J24" s="5"/>
    </row>
    <row r="25" spans="1:10" ht="15.75">
      <c r="A25" s="6" t="s">
        <v>94</v>
      </c>
      <c r="B25" s="7"/>
      <c r="C25" s="7"/>
      <c r="D25" s="34" t="s">
        <v>87</v>
      </c>
      <c r="E25" s="24">
        <v>0</v>
      </c>
      <c r="F25" s="13">
        <v>1</v>
      </c>
      <c r="G25" s="49"/>
      <c r="H25" s="165">
        <f>E25*F25*Ownr_Entr!$E$56</f>
        <v>0</v>
      </c>
      <c r="I25" s="167"/>
      <c r="J25" s="5"/>
    </row>
    <row r="26" spans="1:10" ht="15.75">
      <c r="A26" s="6" t="s">
        <v>121</v>
      </c>
      <c r="B26" s="7"/>
      <c r="C26" s="7"/>
      <c r="D26" s="34" t="s">
        <v>73</v>
      </c>
      <c r="E26" s="24">
        <v>0</v>
      </c>
      <c r="F26" s="13">
        <v>1</v>
      </c>
      <c r="G26" s="14">
        <v>1</v>
      </c>
      <c r="H26" s="165">
        <f>E26*F26*G26*Ownr_Entr!$E$56</f>
        <v>0</v>
      </c>
      <c r="I26" s="165">
        <f>E26*F26*(1-G26)*Ownr_Entr!$E$56</f>
        <v>0</v>
      </c>
      <c r="J26" s="5"/>
    </row>
    <row r="27" spans="1:10" ht="15.75">
      <c r="A27" s="6" t="s">
        <v>122</v>
      </c>
      <c r="B27" s="7"/>
      <c r="C27" s="7"/>
      <c r="D27" s="34" t="s">
        <v>73</v>
      </c>
      <c r="E27" s="24">
        <v>0</v>
      </c>
      <c r="F27" s="13">
        <v>1</v>
      </c>
      <c r="G27" s="14">
        <v>1</v>
      </c>
      <c r="H27" s="165">
        <f>E27*F27*G27*Ownr_Entr!$E$56</f>
        <v>0</v>
      </c>
      <c r="I27" s="165">
        <f>E27*F27*(1-G27)*Ownr_Entr!$E$56</f>
        <v>0</v>
      </c>
      <c r="J27" s="5"/>
    </row>
    <row r="28" spans="1:10" ht="15.75">
      <c r="A28" s="6" t="s">
        <v>123</v>
      </c>
      <c r="B28" s="7"/>
      <c r="C28" s="7"/>
      <c r="D28" s="34" t="s">
        <v>98</v>
      </c>
      <c r="E28" s="49"/>
      <c r="F28" s="50"/>
      <c r="G28" s="51"/>
      <c r="H28" s="165">
        <f>(SUM(H9:H20)+H26+H27)*Ownr_Entr!$B$62/12*$E$29</f>
        <v>29.4</v>
      </c>
      <c r="I28" s="165">
        <f>(SUM(I9:I20)+I26+I27)*Ownr_Entr!$B$62/12*$E$29</f>
        <v>0</v>
      </c>
      <c r="J28" s="5"/>
    </row>
    <row r="29" spans="1:10" ht="15.75">
      <c r="A29" s="6" t="s">
        <v>99</v>
      </c>
      <c r="B29" s="7"/>
      <c r="C29" s="7"/>
      <c r="D29" s="15"/>
      <c r="E29" s="13">
        <v>3</v>
      </c>
      <c r="F29" s="51"/>
      <c r="G29" s="51"/>
      <c r="H29" s="51"/>
      <c r="I29" s="51"/>
      <c r="J29" s="5"/>
    </row>
    <row r="30" spans="1:10" ht="15.75">
      <c r="A30" s="9" t="s">
        <v>124</v>
      </c>
      <c r="B30" s="11"/>
      <c r="C30" s="11"/>
      <c r="D30" s="11"/>
      <c r="E30" s="11"/>
      <c r="F30" s="11"/>
      <c r="G30" s="11"/>
      <c r="H30" s="18">
        <f>SUM(H9:H28)</f>
        <v>3809.4</v>
      </c>
      <c r="I30" s="18">
        <f>SUM(I9:I28)</f>
        <v>0</v>
      </c>
      <c r="J30" s="5"/>
    </row>
    <row r="31" spans="1:10" ht="15.75">
      <c r="A31" s="7"/>
      <c r="B31" s="7"/>
      <c r="C31" s="7"/>
      <c r="D31" s="7"/>
      <c r="E31" s="7"/>
      <c r="F31" s="7"/>
      <c r="G31" s="7"/>
      <c r="H31" s="11"/>
      <c r="I31" s="11"/>
      <c r="J31" s="1"/>
    </row>
    <row r="32" spans="1:10" ht="15.75">
      <c r="A32" s="7"/>
      <c r="B32" s="7"/>
      <c r="C32" s="7"/>
      <c r="D32" s="7"/>
      <c r="E32" s="7"/>
      <c r="F32" s="7"/>
      <c r="G32" s="7"/>
      <c r="H32" s="7"/>
      <c r="I32" s="7"/>
      <c r="J32" s="1"/>
    </row>
    <row r="33" spans="1:10" ht="15.75">
      <c r="A33" s="7"/>
      <c r="B33" s="7"/>
      <c r="C33" s="7"/>
      <c r="D33" s="7"/>
      <c r="E33" s="7"/>
      <c r="F33" s="7"/>
      <c r="G33" s="7"/>
      <c r="H33" s="7"/>
      <c r="I33" s="7"/>
      <c r="J33" s="1"/>
    </row>
  </sheetData>
  <printOptions/>
  <pageMargins left="0.75" right="0.75" top="1" bottom="1" header="0.5" footer="0.5"/>
  <pageSetup fitToHeight="1" fitToWidth="1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J44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14" style="0" customWidth="1"/>
    <col min="4" max="4" width="10.09765625" style="0" customWidth="1"/>
    <col min="8" max="8" width="11" style="0" customWidth="1"/>
    <col min="9" max="9" width="10.5" style="0" customWidth="1"/>
  </cols>
  <sheetData>
    <row r="3" spans="1:10" ht="15.75">
      <c r="A3" s="7"/>
      <c r="B3" s="7"/>
      <c r="C3" s="7"/>
      <c r="D3" s="7"/>
      <c r="E3" s="7"/>
      <c r="F3" s="7"/>
      <c r="G3" s="7"/>
      <c r="H3" s="7"/>
      <c r="I3" s="7"/>
      <c r="J3" s="1"/>
    </row>
    <row r="4" spans="1:10" ht="15.75">
      <c r="A4" s="6" t="s">
        <v>125</v>
      </c>
      <c r="B4" s="7"/>
      <c r="C4" s="7"/>
      <c r="D4" s="32" t="s">
        <v>126</v>
      </c>
      <c r="E4" s="11"/>
      <c r="F4" s="11"/>
      <c r="G4" s="11"/>
      <c r="H4" s="11"/>
      <c r="I4" s="11"/>
      <c r="J4" s="5"/>
    </row>
    <row r="5" spans="1:10" ht="15.75">
      <c r="A5" s="11"/>
      <c r="B5" s="11"/>
      <c r="C5" s="11"/>
      <c r="D5" s="12"/>
      <c r="E5" s="19" t="s">
        <v>60</v>
      </c>
      <c r="F5" s="20" t="s">
        <v>61</v>
      </c>
      <c r="G5" s="20" t="s">
        <v>2</v>
      </c>
      <c r="H5" s="20" t="s">
        <v>3</v>
      </c>
      <c r="I5" s="20" t="s">
        <v>3</v>
      </c>
      <c r="J5" s="5"/>
    </row>
    <row r="6" spans="1:10" ht="15.75">
      <c r="A6" s="7"/>
      <c r="B6" s="7"/>
      <c r="C6" s="7"/>
      <c r="D6" s="15"/>
      <c r="E6" s="16" t="s">
        <v>62</v>
      </c>
      <c r="F6" s="10" t="s">
        <v>62</v>
      </c>
      <c r="G6" s="10" t="s">
        <v>8</v>
      </c>
      <c r="H6" s="10" t="s">
        <v>8</v>
      </c>
      <c r="I6" s="10" t="s">
        <v>7</v>
      </c>
      <c r="J6" s="5"/>
    </row>
    <row r="7" spans="1:10" ht="15.75">
      <c r="A7" s="6" t="s">
        <v>63</v>
      </c>
      <c r="B7" s="7"/>
      <c r="C7" s="7"/>
      <c r="D7" s="33" t="s">
        <v>64</v>
      </c>
      <c r="E7" s="16" t="s">
        <v>65</v>
      </c>
      <c r="F7" s="10" t="s">
        <v>65</v>
      </c>
      <c r="G7" s="10" t="s">
        <v>11</v>
      </c>
      <c r="H7" s="10" t="s">
        <v>11</v>
      </c>
      <c r="I7" s="10" t="s">
        <v>11</v>
      </c>
      <c r="J7" s="5"/>
    </row>
    <row r="8" spans="1:10" ht="15.75">
      <c r="A8" s="11"/>
      <c r="B8" s="11"/>
      <c r="C8" s="11"/>
      <c r="D8" s="191"/>
      <c r="E8" s="191"/>
      <c r="F8" s="191"/>
      <c r="G8" s="191"/>
      <c r="H8" s="191"/>
      <c r="I8" s="191"/>
      <c r="J8" s="5"/>
    </row>
    <row r="9" spans="1:10" ht="15.75">
      <c r="A9" s="6" t="s">
        <v>66</v>
      </c>
      <c r="B9" s="7"/>
      <c r="C9" s="7"/>
      <c r="D9" s="34" t="s">
        <v>67</v>
      </c>
      <c r="E9" s="24">
        <v>20</v>
      </c>
      <c r="F9" s="13">
        <v>0.09</v>
      </c>
      <c r="G9" s="14">
        <v>1</v>
      </c>
      <c r="H9" s="165">
        <f>E9*F9*G9*Ownr_Entr!$F$56</f>
        <v>179.99999999999997</v>
      </c>
      <c r="I9" s="165">
        <f>E9*F9*(1-G9)*Ownr_Entr!$F$56</f>
        <v>0</v>
      </c>
      <c r="J9" s="5"/>
    </row>
    <row r="10" spans="1:10" ht="15.75">
      <c r="A10" s="6" t="s">
        <v>68</v>
      </c>
      <c r="B10" s="8"/>
      <c r="C10" s="35" t="s">
        <v>69</v>
      </c>
      <c r="D10" s="34" t="s">
        <v>70</v>
      </c>
      <c r="E10" s="24">
        <v>0</v>
      </c>
      <c r="F10" s="13">
        <v>1</v>
      </c>
      <c r="G10" s="14">
        <v>1</v>
      </c>
      <c r="H10" s="165">
        <f>E10*F10*G10*Ownr_Entr!$F$56</f>
        <v>0</v>
      </c>
      <c r="I10" s="165">
        <f>E10*F10*(1-G10)*Ownr_Entr!$F$56</f>
        <v>0</v>
      </c>
      <c r="J10" s="5"/>
    </row>
    <row r="11" spans="1:10" ht="15.75">
      <c r="A11" s="36" t="s">
        <v>71</v>
      </c>
      <c r="B11" s="8"/>
      <c r="C11" s="8"/>
      <c r="D11" s="34" t="s">
        <v>70</v>
      </c>
      <c r="E11" s="24">
        <v>0</v>
      </c>
      <c r="F11" s="13">
        <v>1</v>
      </c>
      <c r="G11" s="14">
        <v>1</v>
      </c>
      <c r="H11" s="165">
        <f>E11*F11*G11*Ownr_Entr!$F$56</f>
        <v>0</v>
      </c>
      <c r="I11" s="165">
        <f>E11*F11*(1-G11)*Ownr_Entr!$F$56</f>
        <v>0</v>
      </c>
      <c r="J11" s="5"/>
    </row>
    <row r="12" spans="1:10" ht="15.75">
      <c r="A12" s="36" t="s">
        <v>71</v>
      </c>
      <c r="B12" s="8"/>
      <c r="C12" s="8"/>
      <c r="D12" s="34" t="s">
        <v>70</v>
      </c>
      <c r="E12" s="24">
        <v>0</v>
      </c>
      <c r="F12" s="13">
        <v>1</v>
      </c>
      <c r="G12" s="14">
        <v>1</v>
      </c>
      <c r="H12" s="165">
        <f>E12*F12*G12*Ownr_Entr!$F$56</f>
        <v>0</v>
      </c>
      <c r="I12" s="165">
        <f>E12*F12*(1-G12)*Ownr_Entr!$F$56</f>
        <v>0</v>
      </c>
      <c r="J12" s="5"/>
    </row>
    <row r="13" spans="1:10" ht="15.75">
      <c r="A13" s="6" t="s">
        <v>72</v>
      </c>
      <c r="B13" s="7"/>
      <c r="C13" s="37"/>
      <c r="D13" s="34" t="s">
        <v>73</v>
      </c>
      <c r="E13" s="24">
        <v>0</v>
      </c>
      <c r="F13" s="13">
        <v>1</v>
      </c>
      <c r="G13" s="14">
        <v>1</v>
      </c>
      <c r="H13" s="165">
        <f>E13*F13*G13*Ownr_Entr!$F$56</f>
        <v>0</v>
      </c>
      <c r="I13" s="165">
        <f>E13*F13*(1-G13)*Ownr_Entr!$F$56</f>
        <v>0</v>
      </c>
      <c r="J13" s="5"/>
    </row>
    <row r="14" spans="1:10" ht="15.75">
      <c r="A14" s="6" t="s">
        <v>74</v>
      </c>
      <c r="B14" s="8"/>
      <c r="C14" s="35" t="s">
        <v>75</v>
      </c>
      <c r="D14" s="34" t="s">
        <v>76</v>
      </c>
      <c r="E14" s="38">
        <v>0.22</v>
      </c>
      <c r="F14" s="13">
        <v>60</v>
      </c>
      <c r="G14" s="14">
        <v>0.6253</v>
      </c>
      <c r="H14" s="165">
        <f>E14*F14*G14*Ownr_Entr!$F$56</f>
        <v>825.396</v>
      </c>
      <c r="I14" s="165">
        <f>E14*F14*(1-G14)*Ownr_Entr!$F$56</f>
        <v>494.604</v>
      </c>
      <c r="J14" s="5"/>
    </row>
    <row r="15" spans="1:10" ht="15.75">
      <c r="A15" s="36" t="s">
        <v>71</v>
      </c>
      <c r="B15" s="8"/>
      <c r="C15" s="35" t="s">
        <v>77</v>
      </c>
      <c r="D15" s="34" t="s">
        <v>76</v>
      </c>
      <c r="E15" s="38">
        <v>0.14</v>
      </c>
      <c r="F15" s="13">
        <v>20</v>
      </c>
      <c r="G15" s="14">
        <v>0.6253</v>
      </c>
      <c r="H15" s="165">
        <f>E15*F15*G15*Ownr_Entr!$F$56</f>
        <v>175.084</v>
      </c>
      <c r="I15" s="165">
        <f>E15*F15*(1-G15)*Ownr_Entr!$F$56</f>
        <v>104.91600000000001</v>
      </c>
      <c r="J15" s="5"/>
    </row>
    <row r="16" spans="1:10" ht="15.75">
      <c r="A16" s="36" t="s">
        <v>71</v>
      </c>
      <c r="B16" s="8"/>
      <c r="C16" s="8"/>
      <c r="D16" s="34" t="s">
        <v>76</v>
      </c>
      <c r="E16" s="38">
        <v>0</v>
      </c>
      <c r="F16" s="13">
        <v>0</v>
      </c>
      <c r="G16" s="14">
        <v>1</v>
      </c>
      <c r="H16" s="165">
        <f>E16*F16*G16*Ownr_Entr!$F$56</f>
        <v>0</v>
      </c>
      <c r="I16" s="165">
        <f>E16*F16*(1-G16)*Ownr_Entr!$F$56</f>
        <v>0</v>
      </c>
      <c r="J16" s="5"/>
    </row>
    <row r="17" spans="1:10" ht="15.75">
      <c r="A17" s="6" t="s">
        <v>78</v>
      </c>
      <c r="B17" s="7"/>
      <c r="C17" s="7"/>
      <c r="D17" s="34" t="s">
        <v>73</v>
      </c>
      <c r="E17" s="24">
        <v>0</v>
      </c>
      <c r="F17" s="13">
        <v>1</v>
      </c>
      <c r="G17" s="14">
        <v>1</v>
      </c>
      <c r="H17" s="165">
        <f>E17*F17*G17*Ownr_Entr!$F$56</f>
        <v>0</v>
      </c>
      <c r="I17" s="165">
        <f>E17*F17*(1-G17)*Ownr_Entr!$F$56</f>
        <v>0</v>
      </c>
      <c r="J17" s="5"/>
    </row>
    <row r="18" spans="1:10" ht="15.75">
      <c r="A18" s="6" t="s">
        <v>79</v>
      </c>
      <c r="B18" s="7"/>
      <c r="C18" s="7"/>
      <c r="D18" s="34" t="s">
        <v>73</v>
      </c>
      <c r="E18" s="24">
        <v>0</v>
      </c>
      <c r="F18" s="13">
        <v>1</v>
      </c>
      <c r="G18" s="14">
        <v>1</v>
      </c>
      <c r="H18" s="165">
        <f>E18*F18*G18*Ownr_Entr!$F$56</f>
        <v>0</v>
      </c>
      <c r="I18" s="165">
        <f>E18*F18*(1-G18)*Ownr_Entr!$F$56</f>
        <v>0</v>
      </c>
      <c r="J18" s="5"/>
    </row>
    <row r="19" spans="1:10" ht="15.75">
      <c r="A19" s="6" t="s">
        <v>80</v>
      </c>
      <c r="B19" s="7"/>
      <c r="C19" s="7"/>
      <c r="D19" s="34" t="s">
        <v>70</v>
      </c>
      <c r="E19" s="24">
        <v>1</v>
      </c>
      <c r="F19" s="13">
        <v>1</v>
      </c>
      <c r="G19" s="14">
        <v>1</v>
      </c>
      <c r="H19" s="165">
        <f>IF(E19&gt;100,E19*F19*G19,+E19*F19*G19*Ownr_Entr!$F$56)</f>
        <v>100</v>
      </c>
      <c r="I19" s="165">
        <f>IF(E19&gt;100,E19*F19*(1-G19),+E19*F19*(1-G19)*Ownr_Entr!$F$56)</f>
        <v>0</v>
      </c>
      <c r="J19" s="5"/>
    </row>
    <row r="20" spans="1:10" ht="15.75">
      <c r="A20" s="6" t="s">
        <v>81</v>
      </c>
      <c r="B20" s="7"/>
      <c r="C20" s="7"/>
      <c r="D20" s="39"/>
      <c r="E20" s="40" t="s">
        <v>82</v>
      </c>
      <c r="F20" s="39"/>
      <c r="G20" s="13"/>
      <c r="H20" s="165"/>
      <c r="I20" s="165"/>
      <c r="J20" s="5"/>
    </row>
    <row r="21" spans="1:10" ht="15.75">
      <c r="A21" s="6" t="s">
        <v>83</v>
      </c>
      <c r="B21" s="7"/>
      <c r="C21" s="7"/>
      <c r="D21" s="34" t="s">
        <v>70</v>
      </c>
      <c r="E21" s="24">
        <v>0.5</v>
      </c>
      <c r="F21" s="13">
        <v>1</v>
      </c>
      <c r="G21" s="14">
        <v>1</v>
      </c>
      <c r="H21" s="165">
        <f>IF(E21&gt;100,E21*F21*G21,+E21*F21*G21*Ownr_Entr!$F$56)</f>
        <v>50</v>
      </c>
      <c r="I21" s="165">
        <f>IF(E21&gt;100,E21*F21*(1-G21),+E21*F21*(1-G21)*Ownr_Entr!$F$56)</f>
        <v>0</v>
      </c>
      <c r="J21" s="5"/>
    </row>
    <row r="22" spans="1:10" ht="15.75">
      <c r="A22" s="6" t="s">
        <v>84</v>
      </c>
      <c r="B22" s="7"/>
      <c r="C22" s="7"/>
      <c r="D22" s="39"/>
      <c r="E22" s="40" t="s">
        <v>82</v>
      </c>
      <c r="F22" s="39"/>
      <c r="G22" s="13"/>
      <c r="H22" s="165"/>
      <c r="I22" s="165"/>
      <c r="J22" s="5"/>
    </row>
    <row r="23" spans="1:10" ht="15.75">
      <c r="A23" s="6" t="s">
        <v>85</v>
      </c>
      <c r="B23" s="7"/>
      <c r="C23" s="7"/>
      <c r="D23" s="39"/>
      <c r="E23" s="40" t="s">
        <v>82</v>
      </c>
      <c r="F23" s="39"/>
      <c r="G23" s="14"/>
      <c r="H23" s="165"/>
      <c r="I23" s="165"/>
      <c r="J23" s="5"/>
    </row>
    <row r="24" spans="1:10" ht="15.75">
      <c r="A24" s="6" t="s">
        <v>86</v>
      </c>
      <c r="B24" s="7"/>
      <c r="C24" s="7"/>
      <c r="D24" s="34" t="s">
        <v>87</v>
      </c>
      <c r="E24" s="24">
        <v>0</v>
      </c>
      <c r="F24" s="13">
        <v>0</v>
      </c>
      <c r="G24" s="14">
        <v>1</v>
      </c>
      <c r="H24" s="165">
        <f>E24*F24*G24*Ownr_Entr!$F$56</f>
        <v>0</v>
      </c>
      <c r="I24" s="165">
        <f>E24*F24*(1-G24)*Ownr_Entr!$F$56</f>
        <v>0</v>
      </c>
      <c r="J24" s="5"/>
    </row>
    <row r="25" spans="1:10" ht="15.75">
      <c r="A25" s="6" t="s">
        <v>88</v>
      </c>
      <c r="B25" s="7"/>
      <c r="C25" s="7"/>
      <c r="D25" s="34" t="s">
        <v>87</v>
      </c>
      <c r="E25" s="24">
        <v>0</v>
      </c>
      <c r="F25" s="13">
        <v>0</v>
      </c>
      <c r="G25" s="14">
        <v>1</v>
      </c>
      <c r="H25" s="165">
        <f>E25*F25*G25*Ownr_Entr!$F$56</f>
        <v>0</v>
      </c>
      <c r="I25" s="165">
        <f>E25*F25*(1-G25)*Ownr_Entr!$F$56</f>
        <v>0</v>
      </c>
      <c r="J25" s="5"/>
    </row>
    <row r="26" spans="1:10" ht="15.75">
      <c r="A26" s="6" t="s">
        <v>89</v>
      </c>
      <c r="B26" s="7"/>
      <c r="C26" s="7"/>
      <c r="D26" s="34" t="s">
        <v>87</v>
      </c>
      <c r="E26" s="24">
        <v>0</v>
      </c>
      <c r="F26" s="13">
        <v>0</v>
      </c>
      <c r="G26" s="14">
        <v>1</v>
      </c>
      <c r="H26" s="165">
        <f>E26*F26*G26*Ownr_Entr!$F$56</f>
        <v>0</v>
      </c>
      <c r="I26" s="165">
        <f>E26*F26*(1-G26)*Ownr_Entr!$F$56</f>
        <v>0</v>
      </c>
      <c r="J26" s="5"/>
    </row>
    <row r="27" spans="1:10" ht="15.75">
      <c r="A27" s="6" t="s">
        <v>90</v>
      </c>
      <c r="B27" s="7"/>
      <c r="C27" s="7"/>
      <c r="D27" s="187"/>
      <c r="E27" s="188" t="s">
        <v>82</v>
      </c>
      <c r="F27" s="187"/>
      <c r="G27" s="189"/>
      <c r="H27" s="190"/>
      <c r="I27" s="190"/>
      <c r="J27" s="5"/>
    </row>
    <row r="28" spans="1:10" ht="15.75">
      <c r="A28" s="6" t="s">
        <v>91</v>
      </c>
      <c r="B28" s="7"/>
      <c r="C28" s="7"/>
      <c r="D28" s="34" t="s">
        <v>87</v>
      </c>
      <c r="E28" s="24">
        <v>0</v>
      </c>
      <c r="F28" s="13">
        <v>1</v>
      </c>
      <c r="G28" s="49"/>
      <c r="H28" s="167"/>
      <c r="I28" s="165">
        <f>E28*F28*Ownr_Entr!$F$56</f>
        <v>0</v>
      </c>
      <c r="J28" s="5"/>
    </row>
    <row r="29" spans="1:10" ht="15.75">
      <c r="A29" s="6" t="s">
        <v>92</v>
      </c>
      <c r="B29" s="7"/>
      <c r="C29" s="7"/>
      <c r="D29" s="34" t="s">
        <v>87</v>
      </c>
      <c r="E29" s="24">
        <v>8</v>
      </c>
      <c r="F29" s="13">
        <v>0.5</v>
      </c>
      <c r="G29" s="49"/>
      <c r="H29" s="165">
        <f>E29*F29*Ownr_Entr!$F$56</f>
        <v>400</v>
      </c>
      <c r="I29" s="167"/>
      <c r="J29" s="5"/>
    </row>
    <row r="30" spans="1:10" ht="15.75">
      <c r="A30" s="6" t="s">
        <v>93</v>
      </c>
      <c r="B30" s="7"/>
      <c r="C30" s="7"/>
      <c r="D30" s="34" t="s">
        <v>87</v>
      </c>
      <c r="E30" s="24">
        <v>8</v>
      </c>
      <c r="F30" s="13">
        <v>0</v>
      </c>
      <c r="G30" s="49"/>
      <c r="H30" s="165">
        <f>E30*F30*Ownr_Entr!$F$56</f>
        <v>0</v>
      </c>
      <c r="I30" s="167"/>
      <c r="J30" s="5"/>
    </row>
    <row r="31" spans="1:10" ht="15.75">
      <c r="A31" s="6" t="s">
        <v>94</v>
      </c>
      <c r="B31" s="7"/>
      <c r="C31" s="7"/>
      <c r="D31" s="34" t="s">
        <v>87</v>
      </c>
      <c r="E31" s="24">
        <v>0</v>
      </c>
      <c r="F31" s="13">
        <v>1</v>
      </c>
      <c r="G31" s="49"/>
      <c r="H31" s="165">
        <f>E31*F31*Ownr_Entr!$F$56</f>
        <v>0</v>
      </c>
      <c r="I31" s="167"/>
      <c r="J31" s="5"/>
    </row>
    <row r="32" spans="1:10" ht="15.75">
      <c r="A32" s="6" t="s">
        <v>95</v>
      </c>
      <c r="B32" s="7"/>
      <c r="C32" s="7"/>
      <c r="D32" s="34" t="s">
        <v>73</v>
      </c>
      <c r="E32" s="24">
        <v>0</v>
      </c>
      <c r="F32" s="13">
        <v>1</v>
      </c>
      <c r="G32" s="14">
        <v>1</v>
      </c>
      <c r="H32" s="165">
        <f>E32*F32*G32*Ownr_Entr!$F$56</f>
        <v>0</v>
      </c>
      <c r="I32" s="165">
        <f>E32*F32*(1-G32)*Ownr_Entr!$F$56</f>
        <v>0</v>
      </c>
      <c r="J32" s="5"/>
    </row>
    <row r="33" spans="1:10" ht="15.75">
      <c r="A33" s="6" t="s">
        <v>96</v>
      </c>
      <c r="B33" s="7"/>
      <c r="C33" s="7"/>
      <c r="D33" s="34" t="s">
        <v>73</v>
      </c>
      <c r="E33" s="24">
        <v>0</v>
      </c>
      <c r="F33" s="13">
        <v>1</v>
      </c>
      <c r="G33" s="14">
        <v>1</v>
      </c>
      <c r="H33" s="165">
        <f>E33*F33*G33*Ownr_Entr!$F$56</f>
        <v>0</v>
      </c>
      <c r="I33" s="165">
        <f>E33*F33*(1-G33)*Ownr_Entr!$F$56</f>
        <v>0</v>
      </c>
      <c r="J33" s="5"/>
    </row>
    <row r="34" spans="1:10" ht="15.75">
      <c r="A34" s="6" t="s">
        <v>97</v>
      </c>
      <c r="B34" s="7"/>
      <c r="C34" s="7"/>
      <c r="D34" s="34" t="s">
        <v>98</v>
      </c>
      <c r="E34" s="49"/>
      <c r="F34" s="50"/>
      <c r="G34" s="51"/>
      <c r="H34" s="165">
        <f>(SUM(H9:H26)+H32+H33)*Ownr_Entr!$B$62/12*$E$35</f>
        <v>39.9144</v>
      </c>
      <c r="I34" s="165">
        <f>(SUM(I9:I26)+I32+I33)*Ownr_Entr!$B$62/12*$E$35</f>
        <v>17.985599999999998</v>
      </c>
      <c r="J34" s="5"/>
    </row>
    <row r="35" spans="1:10" ht="15.75">
      <c r="A35" s="6" t="s">
        <v>99</v>
      </c>
      <c r="B35" s="7"/>
      <c r="C35" s="7"/>
      <c r="D35" s="15"/>
      <c r="E35" s="13">
        <v>3</v>
      </c>
      <c r="F35" s="51"/>
      <c r="G35" s="51"/>
      <c r="H35" s="167"/>
      <c r="I35" s="167"/>
      <c r="J35" s="5"/>
    </row>
    <row r="36" spans="1:10" ht="15.75">
      <c r="A36" s="9" t="s">
        <v>100</v>
      </c>
      <c r="B36" s="11"/>
      <c r="C36" s="11"/>
      <c r="D36" s="191"/>
      <c r="E36" s="191"/>
      <c r="F36" s="191"/>
      <c r="G36" s="191"/>
      <c r="H36" s="192"/>
      <c r="I36" s="192"/>
      <c r="J36" s="5"/>
    </row>
    <row r="37" spans="1:10" ht="15.75">
      <c r="A37" s="6" t="s">
        <v>101</v>
      </c>
      <c r="B37" s="7"/>
      <c r="C37" s="7"/>
      <c r="D37" s="34" t="s">
        <v>73</v>
      </c>
      <c r="E37" s="24">
        <v>8.55</v>
      </c>
      <c r="F37" s="13">
        <v>1</v>
      </c>
      <c r="G37" s="14">
        <v>1</v>
      </c>
      <c r="H37" s="165">
        <f>E37*F37*G37*Ownr_Entr!$F$56</f>
        <v>855.0000000000001</v>
      </c>
      <c r="I37" s="165">
        <f>E37*F37*(1-G37)*Ownr_Entr!$F$56</f>
        <v>0</v>
      </c>
      <c r="J37" s="5"/>
    </row>
    <row r="38" spans="1:10" ht="15.75">
      <c r="A38" s="6" t="s">
        <v>102</v>
      </c>
      <c r="B38" s="7"/>
      <c r="C38" s="7"/>
      <c r="D38" s="34" t="s">
        <v>73</v>
      </c>
      <c r="E38" s="24">
        <v>1.66</v>
      </c>
      <c r="F38" s="13">
        <v>1</v>
      </c>
      <c r="G38" s="14">
        <v>1</v>
      </c>
      <c r="H38" s="165">
        <f>E38*F38*G38*Ownr_Entr!$F$56</f>
        <v>166</v>
      </c>
      <c r="I38" s="165">
        <f>E38*F38*(1-G38)*Ownr_Entr!$F$56</f>
        <v>0</v>
      </c>
      <c r="J38" s="5"/>
    </row>
    <row r="39" spans="1:10" ht="15.75">
      <c r="A39" s="6" t="s">
        <v>103</v>
      </c>
      <c r="B39" s="7"/>
      <c r="C39" s="7"/>
      <c r="D39" s="34" t="s">
        <v>98</v>
      </c>
      <c r="E39" s="49"/>
      <c r="F39" s="51"/>
      <c r="G39" s="49"/>
      <c r="H39" s="165">
        <f>SUM(H37:H38)*Ownr_Entr!$B$62/12*$E$40</f>
        <v>10.21</v>
      </c>
      <c r="I39" s="165">
        <f>SUM(I37:I38)*Ownr_Entr!$B$62/12*$E$40</f>
        <v>0</v>
      </c>
      <c r="J39" s="5"/>
    </row>
    <row r="40" spans="1:10" ht="15.75">
      <c r="A40" s="6" t="s">
        <v>104</v>
      </c>
      <c r="B40" s="7"/>
      <c r="C40" s="7"/>
      <c r="D40" s="15"/>
      <c r="E40" s="13">
        <v>1</v>
      </c>
      <c r="F40" s="51"/>
      <c r="G40" s="51"/>
      <c r="H40" s="51"/>
      <c r="I40" s="51"/>
      <c r="J40" s="5"/>
    </row>
    <row r="41" spans="1:10" ht="15.75">
      <c r="A41" s="9" t="s">
        <v>127</v>
      </c>
      <c r="B41" s="11"/>
      <c r="C41" s="11"/>
      <c r="D41" s="11"/>
      <c r="E41" s="11"/>
      <c r="F41" s="11"/>
      <c r="G41" s="11"/>
      <c r="H41" s="18">
        <f>SUM(H9:H39)</f>
        <v>2801.6044</v>
      </c>
      <c r="I41" s="18">
        <f>SUM(I9:I39)</f>
        <v>617.5056</v>
      </c>
      <c r="J41" s="5"/>
    </row>
    <row r="42" spans="1:10" ht="15.75">
      <c r="A42" s="7"/>
      <c r="B42" s="7"/>
      <c r="C42" s="7"/>
      <c r="D42" s="7"/>
      <c r="E42" s="7"/>
      <c r="F42" s="7"/>
      <c r="G42" s="7"/>
      <c r="H42" s="11"/>
      <c r="I42" s="11"/>
      <c r="J42" s="1"/>
    </row>
    <row r="43" spans="1:10" ht="15.75">
      <c r="A43" s="7"/>
      <c r="B43" s="7"/>
      <c r="C43" s="7"/>
      <c r="D43" s="7"/>
      <c r="E43" s="7"/>
      <c r="F43" s="7"/>
      <c r="G43" s="7"/>
      <c r="H43" s="7"/>
      <c r="I43" s="7"/>
      <c r="J43" s="1"/>
    </row>
    <row r="44" spans="1:10" ht="15.75">
      <c r="A44" s="7"/>
      <c r="B44" s="7"/>
      <c r="C44" s="7"/>
      <c r="D44" s="7"/>
      <c r="E44" s="7"/>
      <c r="F44" s="7"/>
      <c r="G44" s="7"/>
      <c r="H44" s="7"/>
      <c r="I44" s="7"/>
      <c r="J44" s="1"/>
    </row>
  </sheetData>
  <printOptions/>
  <pageMargins left="0.75" right="0.75" top="1" bottom="1" header="0.5" footer="0.5"/>
  <pageSetup fitToHeight="1" fitToWidth="1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J44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14" style="0" customWidth="1"/>
    <col min="4" max="4" width="10.09765625" style="0" customWidth="1"/>
  </cols>
  <sheetData>
    <row r="3" spans="1:10" ht="15.75">
      <c r="A3" s="7"/>
      <c r="B3" s="7"/>
      <c r="C3" s="7"/>
      <c r="D3" s="7"/>
      <c r="E3" s="7"/>
      <c r="F3" s="7"/>
      <c r="G3" s="7"/>
      <c r="H3" s="7"/>
      <c r="I3" s="7"/>
      <c r="J3" s="1"/>
    </row>
    <row r="4" spans="1:10" ht="15.75">
      <c r="A4" s="6" t="s">
        <v>128</v>
      </c>
      <c r="B4" s="7"/>
      <c r="C4" s="7"/>
      <c r="D4" s="32" t="s">
        <v>129</v>
      </c>
      <c r="E4" s="11"/>
      <c r="F4" s="11"/>
      <c r="G4" s="11"/>
      <c r="H4" s="11"/>
      <c r="I4" s="11"/>
      <c r="J4" s="5"/>
    </row>
    <row r="5" spans="1:10" ht="15.75">
      <c r="A5" s="11"/>
      <c r="B5" s="11"/>
      <c r="C5" s="11"/>
      <c r="D5" s="12"/>
      <c r="E5" s="19" t="s">
        <v>60</v>
      </c>
      <c r="F5" s="20" t="s">
        <v>61</v>
      </c>
      <c r="G5" s="20" t="s">
        <v>2</v>
      </c>
      <c r="H5" s="20" t="s">
        <v>3</v>
      </c>
      <c r="I5" s="20" t="s">
        <v>3</v>
      </c>
      <c r="J5" s="5"/>
    </row>
    <row r="6" spans="1:10" ht="15.75">
      <c r="A6" s="7"/>
      <c r="B6" s="7"/>
      <c r="C6" s="7"/>
      <c r="D6" s="15"/>
      <c r="E6" s="16" t="s">
        <v>62</v>
      </c>
      <c r="F6" s="10" t="s">
        <v>62</v>
      </c>
      <c r="G6" s="10" t="s">
        <v>8</v>
      </c>
      <c r="H6" s="10" t="s">
        <v>8</v>
      </c>
      <c r="I6" s="10" t="s">
        <v>7</v>
      </c>
      <c r="J6" s="5"/>
    </row>
    <row r="7" spans="1:10" ht="15.75">
      <c r="A7" s="6" t="s">
        <v>63</v>
      </c>
      <c r="B7" s="7"/>
      <c r="C7" s="7"/>
      <c r="D7" s="33" t="s">
        <v>64</v>
      </c>
      <c r="E7" s="16" t="s">
        <v>65</v>
      </c>
      <c r="F7" s="10" t="s">
        <v>65</v>
      </c>
      <c r="G7" s="10" t="s">
        <v>11</v>
      </c>
      <c r="H7" s="10" t="s">
        <v>11</v>
      </c>
      <c r="I7" s="10" t="s">
        <v>11</v>
      </c>
      <c r="J7" s="5"/>
    </row>
    <row r="8" spans="1:10" ht="15.75">
      <c r="A8" s="11"/>
      <c r="B8" s="11"/>
      <c r="C8" s="11"/>
      <c r="D8" s="191"/>
      <c r="E8" s="191"/>
      <c r="F8" s="191"/>
      <c r="G8" s="191"/>
      <c r="H8" s="191"/>
      <c r="I8" s="191"/>
      <c r="J8" s="5"/>
    </row>
    <row r="9" spans="1:10" ht="15.75">
      <c r="A9" s="6" t="s">
        <v>66</v>
      </c>
      <c r="B9" s="7"/>
      <c r="C9" s="7"/>
      <c r="D9" s="34" t="s">
        <v>67</v>
      </c>
      <c r="E9" s="24">
        <v>0</v>
      </c>
      <c r="F9" s="13">
        <v>1</v>
      </c>
      <c r="G9" s="14">
        <v>1</v>
      </c>
      <c r="H9" s="165">
        <f>E9*F9*G9*Ownr_Entr!$G$56</f>
        <v>0</v>
      </c>
      <c r="I9" s="165">
        <f>E9*F9*(1-G9)*Ownr_Entr!$G$56</f>
        <v>0</v>
      </c>
      <c r="J9" s="5"/>
    </row>
    <row r="10" spans="1:10" ht="15.75">
      <c r="A10" s="6" t="s">
        <v>68</v>
      </c>
      <c r="B10" s="8"/>
      <c r="C10" s="35" t="s">
        <v>69</v>
      </c>
      <c r="D10" s="34" t="s">
        <v>70</v>
      </c>
      <c r="E10" s="24">
        <v>0</v>
      </c>
      <c r="F10" s="13">
        <v>1</v>
      </c>
      <c r="G10" s="14">
        <v>1</v>
      </c>
      <c r="H10" s="165">
        <f>E10*F10*G10*Ownr_Entr!$G$56</f>
        <v>0</v>
      </c>
      <c r="I10" s="165">
        <f>E10*F10*(1-G10)*Ownr_Entr!$G$56</f>
        <v>0</v>
      </c>
      <c r="J10" s="5"/>
    </row>
    <row r="11" spans="1:10" ht="15.75">
      <c r="A11" s="36" t="s">
        <v>71</v>
      </c>
      <c r="B11" s="8"/>
      <c r="C11" s="8"/>
      <c r="D11" s="34" t="s">
        <v>70</v>
      </c>
      <c r="E11" s="24">
        <v>0</v>
      </c>
      <c r="F11" s="13">
        <v>1</v>
      </c>
      <c r="G11" s="14">
        <v>1</v>
      </c>
      <c r="H11" s="165">
        <f>E11*F11*G11*Ownr_Entr!$G$56</f>
        <v>0</v>
      </c>
      <c r="I11" s="165">
        <f>E11*F11*(1-G11)*Ownr_Entr!$G$56</f>
        <v>0</v>
      </c>
      <c r="J11" s="5"/>
    </row>
    <row r="12" spans="1:10" ht="15.75">
      <c r="A12" s="36" t="s">
        <v>71</v>
      </c>
      <c r="B12" s="8"/>
      <c r="C12" s="8"/>
      <c r="D12" s="34" t="s">
        <v>70</v>
      </c>
      <c r="E12" s="24">
        <v>0</v>
      </c>
      <c r="F12" s="13">
        <v>1</v>
      </c>
      <c r="G12" s="14">
        <v>1</v>
      </c>
      <c r="H12" s="165">
        <f>E12*F12*G12*Ownr_Entr!$G$56</f>
        <v>0</v>
      </c>
      <c r="I12" s="165">
        <f>E12*F12*(1-G12)*Ownr_Entr!$G$56</f>
        <v>0</v>
      </c>
      <c r="J12" s="5"/>
    </row>
    <row r="13" spans="1:10" ht="15.75">
      <c r="A13" s="6" t="s">
        <v>72</v>
      </c>
      <c r="B13" s="7"/>
      <c r="C13" s="37"/>
      <c r="D13" s="34" t="s">
        <v>73</v>
      </c>
      <c r="E13" s="24">
        <v>0</v>
      </c>
      <c r="F13" s="13">
        <v>1</v>
      </c>
      <c r="G13" s="14">
        <v>1</v>
      </c>
      <c r="H13" s="165">
        <f>E13*F13*G13*Ownr_Entr!$G$56</f>
        <v>0</v>
      </c>
      <c r="I13" s="165">
        <f>E13*F13*(1-G13)*Ownr_Entr!$G$56</f>
        <v>0</v>
      </c>
      <c r="J13" s="5"/>
    </row>
    <row r="14" spans="1:10" ht="15.75">
      <c r="A14" s="6" t="s">
        <v>74</v>
      </c>
      <c r="B14" s="8"/>
      <c r="C14" s="35" t="s">
        <v>75</v>
      </c>
      <c r="D14" s="34" t="s">
        <v>76</v>
      </c>
      <c r="E14" s="38">
        <v>0</v>
      </c>
      <c r="F14" s="13">
        <v>0</v>
      </c>
      <c r="G14" s="14">
        <v>1</v>
      </c>
      <c r="H14" s="165">
        <f>E14*F14*G14*Ownr_Entr!$G$56</f>
        <v>0</v>
      </c>
      <c r="I14" s="165">
        <f>E14*F14*(1-G14)*Ownr_Entr!$G$56</f>
        <v>0</v>
      </c>
      <c r="J14" s="5"/>
    </row>
    <row r="15" spans="1:10" ht="15.75">
      <c r="A15" s="36" t="s">
        <v>71</v>
      </c>
      <c r="B15" s="8"/>
      <c r="C15" s="35" t="s">
        <v>77</v>
      </c>
      <c r="D15" s="34" t="s">
        <v>76</v>
      </c>
      <c r="E15" s="38">
        <v>0</v>
      </c>
      <c r="F15" s="13">
        <v>0</v>
      </c>
      <c r="G15" s="14">
        <v>1</v>
      </c>
      <c r="H15" s="165">
        <f>E15*F15*G15*Ownr_Entr!$G$56</f>
        <v>0</v>
      </c>
      <c r="I15" s="165">
        <f>E15*F15*(1-G15)*Ownr_Entr!$G$56</f>
        <v>0</v>
      </c>
      <c r="J15" s="5"/>
    </row>
    <row r="16" spans="1:10" ht="15.75">
      <c r="A16" s="36" t="s">
        <v>71</v>
      </c>
      <c r="B16" s="8"/>
      <c r="C16" s="8"/>
      <c r="D16" s="34" t="s">
        <v>76</v>
      </c>
      <c r="E16" s="38">
        <v>0</v>
      </c>
      <c r="F16" s="13">
        <v>0</v>
      </c>
      <c r="G16" s="14">
        <v>1</v>
      </c>
      <c r="H16" s="165">
        <f>E16*F16*G16*Ownr_Entr!$G$56</f>
        <v>0</v>
      </c>
      <c r="I16" s="165">
        <f>E16*F16*(1-G16)*Ownr_Entr!$G$56</f>
        <v>0</v>
      </c>
      <c r="J16" s="5"/>
    </row>
    <row r="17" spans="1:10" ht="15.75">
      <c r="A17" s="6" t="s">
        <v>78</v>
      </c>
      <c r="B17" s="7"/>
      <c r="C17" s="7"/>
      <c r="D17" s="34" t="s">
        <v>73</v>
      </c>
      <c r="E17" s="24">
        <v>0</v>
      </c>
      <c r="F17" s="13">
        <v>1</v>
      </c>
      <c r="G17" s="14">
        <v>1</v>
      </c>
      <c r="H17" s="165">
        <f>E17*F17*G17*Ownr_Entr!$G$56</f>
        <v>0</v>
      </c>
      <c r="I17" s="165">
        <f>E17*F17*(1-G17)*Ownr_Entr!$G$56</f>
        <v>0</v>
      </c>
      <c r="J17" s="5"/>
    </row>
    <row r="18" spans="1:10" ht="15.75">
      <c r="A18" s="6" t="s">
        <v>79</v>
      </c>
      <c r="B18" s="7"/>
      <c r="C18" s="7"/>
      <c r="D18" s="34" t="s">
        <v>73</v>
      </c>
      <c r="E18" s="24">
        <v>0</v>
      </c>
      <c r="F18" s="13">
        <v>1</v>
      </c>
      <c r="G18" s="14">
        <v>1</v>
      </c>
      <c r="H18" s="165">
        <f>E18*F18*G18*Ownr_Entr!$G$56</f>
        <v>0</v>
      </c>
      <c r="I18" s="165">
        <f>E18*F18*(1-G18)*Ownr_Entr!$G$56</f>
        <v>0</v>
      </c>
      <c r="J18" s="5"/>
    </row>
    <row r="19" spans="1:10" ht="15.75">
      <c r="A19" s="6" t="s">
        <v>80</v>
      </c>
      <c r="B19" s="7"/>
      <c r="C19" s="7"/>
      <c r="D19" s="34" t="s">
        <v>70</v>
      </c>
      <c r="E19" s="24">
        <v>0</v>
      </c>
      <c r="F19" s="13">
        <v>1</v>
      </c>
      <c r="G19" s="14">
        <v>1</v>
      </c>
      <c r="H19" s="165">
        <f>IF(E19&gt;100,E19*F19*G19,+E19*F19*G19*Ownr_Entr!$G$56)</f>
        <v>0</v>
      </c>
      <c r="I19" s="165">
        <f>IF(E19&gt;100,E19*F19*(1-G19),+E19*F19*(1-G19)*Ownr_Entr!$G$56)</f>
        <v>0</v>
      </c>
      <c r="J19" s="5"/>
    </row>
    <row r="20" spans="1:10" ht="15.75">
      <c r="A20" s="6" t="s">
        <v>81</v>
      </c>
      <c r="B20" s="7"/>
      <c r="C20" s="7"/>
      <c r="D20" s="39"/>
      <c r="E20" s="40" t="s">
        <v>82</v>
      </c>
      <c r="F20" s="39"/>
      <c r="G20" s="13"/>
      <c r="H20" s="165"/>
      <c r="I20" s="165"/>
      <c r="J20" s="5"/>
    </row>
    <row r="21" spans="1:10" ht="15.75">
      <c r="A21" s="6" t="s">
        <v>83</v>
      </c>
      <c r="B21" s="7"/>
      <c r="C21" s="7"/>
      <c r="D21" s="34" t="s">
        <v>70</v>
      </c>
      <c r="E21" s="24">
        <v>0</v>
      </c>
      <c r="F21" s="13">
        <v>1</v>
      </c>
      <c r="G21" s="14">
        <v>1</v>
      </c>
      <c r="H21" s="165">
        <f>IF(E21&gt;100,E21*F21*G21,+E21*F21*G21*Ownr_Entr!$G$56)</f>
        <v>0</v>
      </c>
      <c r="I21" s="165">
        <f>IF(E21&gt;100,E21*F21*(1-G21),+E21*F21*(1-G21)*Ownr_Entr!$G$56)</f>
        <v>0</v>
      </c>
      <c r="J21" s="5"/>
    </row>
    <row r="22" spans="1:10" ht="15.75">
      <c r="A22" s="6" t="s">
        <v>84</v>
      </c>
      <c r="B22" s="7"/>
      <c r="C22" s="7"/>
      <c r="D22" s="39"/>
      <c r="E22" s="40" t="s">
        <v>82</v>
      </c>
      <c r="F22" s="39"/>
      <c r="G22" s="13"/>
      <c r="H22" s="165"/>
      <c r="I22" s="165"/>
      <c r="J22" s="5"/>
    </row>
    <row r="23" spans="1:10" ht="15.75">
      <c r="A23" s="6" t="s">
        <v>85</v>
      </c>
      <c r="B23" s="7"/>
      <c r="C23" s="7"/>
      <c r="D23" s="39"/>
      <c r="E23" s="40" t="s">
        <v>82</v>
      </c>
      <c r="F23" s="39"/>
      <c r="G23" s="14"/>
      <c r="H23" s="165"/>
      <c r="I23" s="165"/>
      <c r="J23" s="5"/>
    </row>
    <row r="24" spans="1:10" ht="15.75">
      <c r="A24" s="6" t="s">
        <v>86</v>
      </c>
      <c r="B24" s="7"/>
      <c r="C24" s="7"/>
      <c r="D24" s="34" t="s">
        <v>87</v>
      </c>
      <c r="E24" s="24">
        <v>0</v>
      </c>
      <c r="F24" s="13">
        <v>0</v>
      </c>
      <c r="G24" s="14">
        <v>1</v>
      </c>
      <c r="H24" s="165">
        <f>E24*F24*G24*Ownr_Entr!$G$56</f>
        <v>0</v>
      </c>
      <c r="I24" s="165">
        <f>E24*F24*(1-G24)*Ownr_Entr!$G$56</f>
        <v>0</v>
      </c>
      <c r="J24" s="5"/>
    </row>
    <row r="25" spans="1:10" ht="15.75">
      <c r="A25" s="6" t="s">
        <v>88</v>
      </c>
      <c r="B25" s="7"/>
      <c r="C25" s="7"/>
      <c r="D25" s="34" t="s">
        <v>87</v>
      </c>
      <c r="E25" s="24">
        <v>0</v>
      </c>
      <c r="F25" s="13">
        <v>0</v>
      </c>
      <c r="G25" s="14">
        <v>1</v>
      </c>
      <c r="H25" s="165">
        <f>E25*F25*G25*Ownr_Entr!$G$56</f>
        <v>0</v>
      </c>
      <c r="I25" s="165">
        <f>E25*F25*(1-G25)*Ownr_Entr!$G$56</f>
        <v>0</v>
      </c>
      <c r="J25" s="5"/>
    </row>
    <row r="26" spans="1:10" ht="15.75">
      <c r="A26" s="6" t="s">
        <v>89</v>
      </c>
      <c r="B26" s="7"/>
      <c r="C26" s="7"/>
      <c r="D26" s="34" t="s">
        <v>87</v>
      </c>
      <c r="E26" s="24">
        <v>0</v>
      </c>
      <c r="F26" s="13">
        <v>0</v>
      </c>
      <c r="G26" s="14">
        <v>1</v>
      </c>
      <c r="H26" s="165">
        <f>E26*F26*G26*Ownr_Entr!$G$56</f>
        <v>0</v>
      </c>
      <c r="I26" s="165">
        <f>E26*F26*(1-G26)*Ownr_Entr!$G$56</f>
        <v>0</v>
      </c>
      <c r="J26" s="5"/>
    </row>
    <row r="27" spans="1:10" ht="15.75">
      <c r="A27" s="6" t="s">
        <v>90</v>
      </c>
      <c r="B27" s="7"/>
      <c r="C27" s="7"/>
      <c r="D27" s="187"/>
      <c r="E27" s="188" t="s">
        <v>82</v>
      </c>
      <c r="F27" s="187"/>
      <c r="G27" s="189"/>
      <c r="H27" s="190"/>
      <c r="I27" s="190"/>
      <c r="J27" s="5"/>
    </row>
    <row r="28" spans="1:10" ht="15.75">
      <c r="A28" s="6" t="s">
        <v>91</v>
      </c>
      <c r="B28" s="7"/>
      <c r="C28" s="7"/>
      <c r="D28" s="34" t="s">
        <v>87</v>
      </c>
      <c r="E28" s="24">
        <v>0</v>
      </c>
      <c r="F28" s="13">
        <v>1</v>
      </c>
      <c r="G28" s="49"/>
      <c r="H28" s="167"/>
      <c r="I28" s="165">
        <f>E28*F28*Ownr_Entr!$G$56</f>
        <v>0</v>
      </c>
      <c r="J28" s="5"/>
    </row>
    <row r="29" spans="1:10" ht="15.75">
      <c r="A29" s="6" t="s">
        <v>92</v>
      </c>
      <c r="B29" s="7"/>
      <c r="C29" s="7"/>
      <c r="D29" s="34" t="s">
        <v>87</v>
      </c>
      <c r="E29" s="24">
        <v>0</v>
      </c>
      <c r="F29" s="13">
        <v>0.5</v>
      </c>
      <c r="G29" s="49"/>
      <c r="H29" s="165">
        <f>E29*F29*Ownr_Entr!$G$56</f>
        <v>0</v>
      </c>
      <c r="I29" s="167"/>
      <c r="J29" s="5"/>
    </row>
    <row r="30" spans="1:10" ht="15.75">
      <c r="A30" s="6" t="s">
        <v>93</v>
      </c>
      <c r="B30" s="7"/>
      <c r="C30" s="7"/>
      <c r="D30" s="34" t="s">
        <v>87</v>
      </c>
      <c r="E30" s="24">
        <v>0</v>
      </c>
      <c r="F30" s="13">
        <v>0.5</v>
      </c>
      <c r="G30" s="49"/>
      <c r="H30" s="165">
        <f>E30*F30*Ownr_Entr!$G$56</f>
        <v>0</v>
      </c>
      <c r="I30" s="167"/>
      <c r="J30" s="5"/>
    </row>
    <row r="31" spans="1:10" ht="15.75">
      <c r="A31" s="6" t="s">
        <v>94</v>
      </c>
      <c r="B31" s="7"/>
      <c r="C31" s="7"/>
      <c r="D31" s="34" t="s">
        <v>87</v>
      </c>
      <c r="E31" s="24">
        <v>0</v>
      </c>
      <c r="F31" s="13">
        <v>1</v>
      </c>
      <c r="G31" s="49"/>
      <c r="H31" s="165">
        <f>E31*F31*Ownr_Entr!$G$56</f>
        <v>0</v>
      </c>
      <c r="I31" s="167"/>
      <c r="J31" s="5"/>
    </row>
    <row r="32" spans="1:10" ht="15.75">
      <c r="A32" s="6" t="s">
        <v>95</v>
      </c>
      <c r="B32" s="7"/>
      <c r="C32" s="7"/>
      <c r="D32" s="34" t="s">
        <v>73</v>
      </c>
      <c r="E32" s="24">
        <v>0</v>
      </c>
      <c r="F32" s="13">
        <v>1</v>
      </c>
      <c r="G32" s="14">
        <v>1</v>
      </c>
      <c r="H32" s="165">
        <f>E32*F32*G32*Ownr_Entr!$G$56</f>
        <v>0</v>
      </c>
      <c r="I32" s="165">
        <f>E32*F32*(1-G32)*Ownr_Entr!$G$56</f>
        <v>0</v>
      </c>
      <c r="J32" s="5"/>
    </row>
    <row r="33" spans="1:10" ht="15.75">
      <c r="A33" s="6" t="s">
        <v>96</v>
      </c>
      <c r="B33" s="7"/>
      <c r="C33" s="7"/>
      <c r="D33" s="34" t="s">
        <v>73</v>
      </c>
      <c r="E33" s="24">
        <v>0</v>
      </c>
      <c r="F33" s="13">
        <v>1</v>
      </c>
      <c r="G33" s="14">
        <v>1</v>
      </c>
      <c r="H33" s="165">
        <f>E33*F33*G33*Ownr_Entr!$G$56</f>
        <v>0</v>
      </c>
      <c r="I33" s="165">
        <f>E33*F33*(1-G33)*Ownr_Entr!$G$56</f>
        <v>0</v>
      </c>
      <c r="J33" s="5"/>
    </row>
    <row r="34" spans="1:10" ht="15.75">
      <c r="A34" s="6" t="s">
        <v>97</v>
      </c>
      <c r="B34" s="7"/>
      <c r="C34" s="7"/>
      <c r="D34" s="34" t="s">
        <v>98</v>
      </c>
      <c r="E34" s="49"/>
      <c r="F34" s="50"/>
      <c r="G34" s="51"/>
      <c r="H34" s="165">
        <f>(SUM(H9:H26)+H32+H33)*Ownr_Entr!$B$62/12*$E$35</f>
        <v>0</v>
      </c>
      <c r="I34" s="165">
        <f>(SUM(I9:I26)+I32+I33)*Ownr_Entr!$B$62/12*$E$35</f>
        <v>0</v>
      </c>
      <c r="J34" s="5"/>
    </row>
    <row r="35" spans="1:10" ht="15.75">
      <c r="A35" s="6" t="s">
        <v>99</v>
      </c>
      <c r="B35" s="7"/>
      <c r="C35" s="7"/>
      <c r="D35" s="39"/>
      <c r="E35" s="13">
        <v>4</v>
      </c>
      <c r="F35" s="51"/>
      <c r="G35" s="51"/>
      <c r="H35" s="167"/>
      <c r="I35" s="167"/>
      <c r="J35" s="5"/>
    </row>
    <row r="36" spans="1:10" ht="15.75">
      <c r="A36" s="9" t="s">
        <v>100</v>
      </c>
      <c r="B36" s="11"/>
      <c r="C36" s="11"/>
      <c r="D36" s="193"/>
      <c r="E36" s="191"/>
      <c r="F36" s="191"/>
      <c r="G36" s="191"/>
      <c r="H36" s="192"/>
      <c r="I36" s="192"/>
      <c r="J36" s="5"/>
    </row>
    <row r="37" spans="1:10" ht="15.75">
      <c r="A37" s="6" t="s">
        <v>101</v>
      </c>
      <c r="B37" s="7"/>
      <c r="C37" s="7"/>
      <c r="D37" s="34" t="s">
        <v>73</v>
      </c>
      <c r="E37" s="24">
        <v>0</v>
      </c>
      <c r="F37" s="13">
        <v>1</v>
      </c>
      <c r="G37" s="14">
        <v>1</v>
      </c>
      <c r="H37" s="165">
        <f>E37*F37*G37*Ownr_Entr!$G$56</f>
        <v>0</v>
      </c>
      <c r="I37" s="165">
        <f>E37*F37*(1-G37)*Ownr_Entr!$G$56</f>
        <v>0</v>
      </c>
      <c r="J37" s="5"/>
    </row>
    <row r="38" spans="1:10" ht="15.75">
      <c r="A38" s="6" t="s">
        <v>102</v>
      </c>
      <c r="B38" s="7"/>
      <c r="C38" s="7"/>
      <c r="D38" s="34" t="s">
        <v>73</v>
      </c>
      <c r="E38" s="24">
        <v>0</v>
      </c>
      <c r="F38" s="13">
        <v>1</v>
      </c>
      <c r="G38" s="14">
        <v>1</v>
      </c>
      <c r="H38" s="165">
        <f>E38*F38*G38*Ownr_Entr!$G$56</f>
        <v>0</v>
      </c>
      <c r="I38" s="165">
        <f>E38*F38*(1-G38)*Ownr_Entr!$G$56</f>
        <v>0</v>
      </c>
      <c r="J38" s="5"/>
    </row>
    <row r="39" spans="1:10" ht="15.75">
      <c r="A39" s="6" t="s">
        <v>103</v>
      </c>
      <c r="B39" s="7"/>
      <c r="C39" s="7"/>
      <c r="D39" s="34" t="s">
        <v>98</v>
      </c>
      <c r="E39" s="51"/>
      <c r="F39" s="51"/>
      <c r="G39" s="49"/>
      <c r="H39" s="165">
        <f>SUM(H37:H38)*Ownr_Entr!$B$62/12*$E$40</f>
        <v>0</v>
      </c>
      <c r="I39" s="165">
        <f>SUM(I37:I38)*Ownr_Entr!$B$62/12*$E$40</f>
        <v>0</v>
      </c>
      <c r="J39" s="5"/>
    </row>
    <row r="40" spans="1:10" ht="15.75">
      <c r="A40" s="6" t="s">
        <v>104</v>
      </c>
      <c r="B40" s="7"/>
      <c r="C40" s="7"/>
      <c r="D40" s="15"/>
      <c r="E40" s="13">
        <v>1</v>
      </c>
      <c r="F40" s="51"/>
      <c r="G40" s="51"/>
      <c r="H40" s="51"/>
      <c r="I40" s="51"/>
      <c r="J40" s="5"/>
    </row>
    <row r="41" spans="1:10" ht="15.75">
      <c r="A41" s="9" t="s">
        <v>130</v>
      </c>
      <c r="B41" s="11"/>
      <c r="C41" s="11"/>
      <c r="D41" s="11"/>
      <c r="E41" s="11"/>
      <c r="F41" s="11"/>
      <c r="G41" s="11"/>
      <c r="H41" s="18">
        <f>SUM(H9:H39)</f>
        <v>0</v>
      </c>
      <c r="I41" s="18">
        <f>SUM(I9:I39)</f>
        <v>0</v>
      </c>
      <c r="J41" s="5"/>
    </row>
    <row r="42" spans="1:10" ht="15.75">
      <c r="A42" s="7"/>
      <c r="B42" s="7"/>
      <c r="C42" s="7"/>
      <c r="D42" s="7"/>
      <c r="E42" s="7"/>
      <c r="F42" s="7"/>
      <c r="G42" s="7"/>
      <c r="H42" s="11"/>
      <c r="I42" s="11"/>
      <c r="J42" s="1"/>
    </row>
    <row r="43" ht="15.75">
      <c r="J43" s="1"/>
    </row>
    <row r="44" ht="15.75">
      <c r="J44" s="1"/>
    </row>
  </sheetData>
  <printOptions/>
  <pageMargins left="0.75" right="0.75" top="1" bottom="1" header="0.5" footer="0.5"/>
  <pageSetup fitToHeight="1" fitToWidth="1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I31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7" max="7" width="11.5" style="0" customWidth="1"/>
    <col min="8" max="8" width="14.3984375" style="0" customWidth="1"/>
  </cols>
  <sheetData>
    <row r="2" spans="1:8" ht="15.75">
      <c r="A2" s="199" t="s">
        <v>218</v>
      </c>
      <c r="B2" s="199"/>
      <c r="C2" s="199"/>
      <c r="D2" s="199"/>
      <c r="E2" s="199"/>
      <c r="F2" s="199"/>
      <c r="G2" s="199"/>
      <c r="H2" s="199"/>
    </row>
    <row r="3" spans="1:9" ht="15.75">
      <c r="A3" s="7"/>
      <c r="B3" s="7"/>
      <c r="C3" s="7"/>
      <c r="D3" s="7"/>
      <c r="E3" s="7"/>
      <c r="F3" s="7"/>
      <c r="G3" s="7"/>
      <c r="H3" s="7"/>
      <c r="I3" s="7"/>
    </row>
    <row r="4" spans="1:9" ht="15.75">
      <c r="A4" s="7"/>
      <c r="B4" s="7"/>
      <c r="C4" s="7"/>
      <c r="D4" s="7"/>
      <c r="E4" s="7"/>
      <c r="F4" s="7"/>
      <c r="G4" s="160" t="s">
        <v>131</v>
      </c>
      <c r="H4" s="159" t="s">
        <v>132</v>
      </c>
      <c r="I4" s="31"/>
    </row>
    <row r="5" spans="1:9" ht="15.75">
      <c r="A5" s="6" t="s">
        <v>133</v>
      </c>
      <c r="B5" s="7"/>
      <c r="C5" s="7"/>
      <c r="D5" s="7"/>
      <c r="E5" s="7"/>
      <c r="F5" s="7"/>
      <c r="G5" s="41">
        <f>Ownr_Entr!H43</f>
        <v>29100</v>
      </c>
      <c r="H5" s="41">
        <f>Ownr_Entr!I43</f>
        <v>35400</v>
      </c>
      <c r="I5" s="31"/>
    </row>
    <row r="6" spans="1:9" ht="15.75">
      <c r="A6" s="6" t="s">
        <v>134</v>
      </c>
      <c r="B6" s="7"/>
      <c r="C6" s="7"/>
      <c r="D6" s="7"/>
      <c r="E6" s="7"/>
      <c r="F6" s="7"/>
      <c r="G6" s="41">
        <f>WWheat!H41</f>
        <v>22593.594</v>
      </c>
      <c r="H6" s="41">
        <f>WWheat!I41</f>
        <v>3177.456</v>
      </c>
      <c r="I6" s="31"/>
    </row>
    <row r="7" spans="1:9" ht="15.75">
      <c r="A7" s="6" t="s">
        <v>135</v>
      </c>
      <c r="B7" s="7"/>
      <c r="C7" s="7"/>
      <c r="D7" s="7"/>
      <c r="E7" s="7"/>
      <c r="F7" s="7"/>
      <c r="G7" s="41">
        <f>SWheat!H41</f>
        <v>4919.258720000001</v>
      </c>
      <c r="H7" s="41">
        <f>SWheat!I41</f>
        <v>810.2512800000002</v>
      </c>
      <c r="I7" s="31"/>
    </row>
    <row r="8" spans="1:9" ht="15.75">
      <c r="A8" s="6" t="s">
        <v>136</v>
      </c>
      <c r="B8" s="7"/>
      <c r="C8" s="7"/>
      <c r="D8" s="7"/>
      <c r="E8" s="7"/>
      <c r="F8" s="7"/>
      <c r="G8" s="41">
        <f>Barley!H41</f>
        <v>4421.21142</v>
      </c>
      <c r="H8" s="41">
        <f>Barley!I41</f>
        <v>532.5985800000001</v>
      </c>
      <c r="I8" s="31"/>
    </row>
    <row r="9" spans="1:9" ht="15.75">
      <c r="A9" s="6" t="s">
        <v>137</v>
      </c>
      <c r="B9" s="7"/>
      <c r="C9" s="7"/>
      <c r="D9" s="7"/>
      <c r="E9" s="7"/>
      <c r="F9" s="7"/>
      <c r="G9" s="41">
        <f>SumFal!H30</f>
        <v>3809.4</v>
      </c>
      <c r="H9" s="41">
        <f>SumFal!I30</f>
        <v>0</v>
      </c>
      <c r="I9" s="31"/>
    </row>
    <row r="10" spans="1:9" ht="15.75">
      <c r="A10" s="6" t="s">
        <v>138</v>
      </c>
      <c r="B10" s="7"/>
      <c r="C10" s="7"/>
      <c r="D10" s="7"/>
      <c r="E10" s="7"/>
      <c r="F10" s="7"/>
      <c r="G10" s="41">
        <f>'Other#1'!H41</f>
        <v>2801.6044</v>
      </c>
      <c r="H10" s="41">
        <f>'Other#1'!I41</f>
        <v>617.5056</v>
      </c>
      <c r="I10" s="31"/>
    </row>
    <row r="11" spans="1:9" ht="15.75">
      <c r="A11" s="6" t="s">
        <v>139</v>
      </c>
      <c r="B11" s="7"/>
      <c r="C11" s="7"/>
      <c r="D11" s="7"/>
      <c r="E11" s="7"/>
      <c r="F11" s="7"/>
      <c r="G11" s="41">
        <f>'Other#2'!H41</f>
        <v>0</v>
      </c>
      <c r="H11" s="41">
        <f>'Other#2'!I41</f>
        <v>0</v>
      </c>
      <c r="I11" s="31"/>
    </row>
    <row r="12" spans="1:9" ht="15.75">
      <c r="A12" s="7"/>
      <c r="B12" s="7"/>
      <c r="C12" s="7"/>
      <c r="D12" s="7"/>
      <c r="E12" s="7"/>
      <c r="F12" s="7"/>
      <c r="G12" s="41"/>
      <c r="H12" s="41"/>
      <c r="I12" s="31"/>
    </row>
    <row r="13" spans="1:9" ht="15.75">
      <c r="A13" s="6" t="s">
        <v>140</v>
      </c>
      <c r="B13" s="7"/>
      <c r="C13" s="7"/>
      <c r="D13" s="7"/>
      <c r="E13" s="7"/>
      <c r="F13" s="7"/>
      <c r="G13" s="41">
        <f>SUM($G$5:$G$11)</f>
        <v>67645.06854</v>
      </c>
      <c r="H13" s="41">
        <f>SUM($H$5:$H$11)</f>
        <v>40537.81145999999</v>
      </c>
      <c r="I13" s="31"/>
    </row>
    <row r="14" spans="1:9" ht="15.75">
      <c r="A14" s="7"/>
      <c r="B14" s="7"/>
      <c r="C14" s="7"/>
      <c r="D14" s="7"/>
      <c r="E14" s="7"/>
      <c r="F14" s="7"/>
      <c r="G14" s="41"/>
      <c r="H14" s="41"/>
      <c r="I14" s="31"/>
    </row>
    <row r="15" spans="1:9" ht="15.75">
      <c r="A15" s="6" t="s">
        <v>215</v>
      </c>
      <c r="B15" s="7"/>
      <c r="C15" s="7"/>
      <c r="D15" s="7"/>
      <c r="E15" s="7"/>
      <c r="F15" s="7"/>
      <c r="G15" s="41"/>
      <c r="H15" s="41">
        <f>G13+H13</f>
        <v>108182.87999999998</v>
      </c>
      <c r="I15" s="31"/>
    </row>
    <row r="16" spans="1:9" ht="15.75">
      <c r="A16" s="7"/>
      <c r="B16" s="7"/>
      <c r="C16" s="7"/>
      <c r="D16" s="7"/>
      <c r="E16" s="7"/>
      <c r="F16" s="7"/>
      <c r="G16" s="7"/>
      <c r="H16" s="7"/>
      <c r="I16" s="31"/>
    </row>
    <row r="17" spans="1:9" ht="15.75">
      <c r="A17" s="6" t="s">
        <v>141</v>
      </c>
      <c r="B17" s="7"/>
      <c r="C17" s="7"/>
      <c r="D17" s="7"/>
      <c r="E17" s="7"/>
      <c r="F17" s="7"/>
      <c r="G17" s="42">
        <f>G13/H15</f>
        <v>0.6252844122840879</v>
      </c>
      <c r="H17" s="42">
        <f>H13/H15</f>
        <v>0.3747155877159122</v>
      </c>
      <c r="I17" s="31"/>
    </row>
    <row r="18" spans="1:9" ht="15.75">
      <c r="A18" s="7"/>
      <c r="B18" s="7"/>
      <c r="C18" s="7"/>
      <c r="D18" s="7"/>
      <c r="E18" s="7"/>
      <c r="F18" s="7"/>
      <c r="G18" s="7"/>
      <c r="H18" s="7"/>
      <c r="I18" s="31"/>
    </row>
    <row r="19" spans="1:9" ht="15.75">
      <c r="A19" s="6" t="s">
        <v>142</v>
      </c>
      <c r="B19" s="7"/>
      <c r="C19" s="7"/>
      <c r="D19" s="7"/>
      <c r="E19" s="7"/>
      <c r="F19" s="7"/>
      <c r="G19" s="7"/>
      <c r="H19" s="7">
        <f>Ownr_Entr!H56</f>
        <v>1500</v>
      </c>
      <c r="I19" s="31"/>
    </row>
    <row r="20" spans="1:9" ht="15.75">
      <c r="A20" s="44" t="s">
        <v>143</v>
      </c>
      <c r="B20" s="44"/>
      <c r="C20" s="44"/>
      <c r="D20" s="44"/>
      <c r="E20" s="44"/>
      <c r="F20" s="44"/>
      <c r="G20" s="44"/>
      <c r="H20" s="53">
        <f>Ownr_Entr!H60</f>
        <v>98340</v>
      </c>
      <c r="I20" s="31"/>
    </row>
    <row r="21" spans="1:9" ht="15.75">
      <c r="A21" s="6" t="s">
        <v>144</v>
      </c>
      <c r="B21" s="7"/>
      <c r="C21" s="7"/>
      <c r="D21" s="7"/>
      <c r="E21" s="7"/>
      <c r="F21" s="7"/>
      <c r="G21" s="7"/>
      <c r="H21" s="7"/>
      <c r="I21" s="31"/>
    </row>
    <row r="22" spans="1:9" ht="15.75">
      <c r="A22" s="6" t="s">
        <v>145</v>
      </c>
      <c r="B22" s="7"/>
      <c r="C22" s="7"/>
      <c r="D22" s="7"/>
      <c r="E22" s="7"/>
      <c r="F22" s="7"/>
      <c r="G22" s="41">
        <f>(Ownr_Entr!$B$56*(Ownr_Entr!$B$57*Ownr_Entr!$B$58+Ownr_Entr!$B$59)+Ownr_Entr!$C$56*(Ownr_Entr!$C$57*Ownr_Entr!$C$58+Ownr_Entr!$C$59)+Ownr_Entr!$D$56*(Ownr_Entr!$D$57*Ownr_Entr!$D$58+Ownr_Entr!$D$59)+Ownr_Entr!$F$56*(Ownr_Entr!$F$57*Ownr_Entr!$F$58+Ownr_Entr!$F$59)+Ownr_Entr!$G$56*(Ownr_Entr!$G$57*Ownr_Entr!$G$58+Ownr_Entr!$G$59))*G17/Ownr_Entr!$H$56</f>
        <v>40.993646069344805</v>
      </c>
      <c r="H22" s="41">
        <f>(Ownr_Entr!$B$56*(Ownr_Entr!$B$57*Ownr_Entr!$B$58+Ownr_Entr!$B$59)+Ownr_Entr!$C$56*(Ownr_Entr!$C$57*Ownr_Entr!$C$58+Ownr_Entr!$C$59)+Ownr_Entr!$D$56*(Ownr_Entr!$D$57*Ownr_Entr!$D$58+Ownr_Entr!$D$59)+Ownr_Entr!$F$56*(Ownr_Entr!$F$57*Ownr_Entr!$F$58+Ownr_Entr!$F$59)+Ownr_Entr!$G$56*(Ownr_Entr!$G$57*Ownr_Entr!$G$58+Ownr_Entr!$G$59))*H17/Ownr_Entr!$H$56</f>
        <v>24.566353930655204</v>
      </c>
      <c r="I22" s="31"/>
    </row>
    <row r="23" spans="1:9" ht="15.75">
      <c r="A23" s="7"/>
      <c r="B23" s="7"/>
      <c r="C23" s="7"/>
      <c r="D23" s="7"/>
      <c r="E23" s="7"/>
      <c r="F23" s="7"/>
      <c r="G23" s="41"/>
      <c r="H23" s="41"/>
      <c r="I23" s="31"/>
    </row>
    <row r="24" spans="1:9" ht="15.75">
      <c r="A24" s="6" t="s">
        <v>146</v>
      </c>
      <c r="B24" s="7"/>
      <c r="C24" s="7"/>
      <c r="D24" s="7"/>
      <c r="E24" s="7"/>
      <c r="F24" s="7"/>
      <c r="G24" s="41">
        <f>G13/Ownr_Entr!H56</f>
        <v>45.09671236</v>
      </c>
      <c r="H24" s="41">
        <f>H13/Ownr_Entr!H56</f>
        <v>27.025207639999994</v>
      </c>
      <c r="I24" s="31"/>
    </row>
    <row r="25" spans="1:9" ht="15.75">
      <c r="A25" s="7"/>
      <c r="B25" s="7"/>
      <c r="C25" s="7"/>
      <c r="D25" s="7"/>
      <c r="E25" s="7"/>
      <c r="F25" s="7"/>
      <c r="G25" s="41"/>
      <c r="H25" s="41"/>
      <c r="I25" s="31"/>
    </row>
    <row r="26" spans="1:9" ht="15.75">
      <c r="A26" s="6" t="s">
        <v>147</v>
      </c>
      <c r="B26" s="7"/>
      <c r="C26" s="7"/>
      <c r="D26" s="7"/>
      <c r="E26" s="7"/>
      <c r="F26" s="7"/>
      <c r="G26" s="41">
        <f>G22-G24</f>
        <v>-4.1030662906551925</v>
      </c>
      <c r="H26" s="41">
        <f>H22-H24</f>
        <v>-2.4588537093447904</v>
      </c>
      <c r="I26" s="31"/>
    </row>
    <row r="27" spans="1:9" ht="15.75">
      <c r="A27" s="7"/>
      <c r="B27" s="7"/>
      <c r="C27" s="7"/>
      <c r="D27" s="7"/>
      <c r="E27" s="7"/>
      <c r="F27" s="7"/>
      <c r="G27" s="41"/>
      <c r="H27" s="41"/>
      <c r="I27" s="31"/>
    </row>
    <row r="28" spans="1:9" ht="15.75">
      <c r="A28" s="6" t="s">
        <v>148</v>
      </c>
      <c r="B28" s="7"/>
      <c r="C28" s="7"/>
      <c r="D28" s="7"/>
      <c r="E28" s="7"/>
      <c r="F28" s="7"/>
      <c r="G28" s="41">
        <f>G22-((SUM(Ownr_Entr!H27:H32)+SUM(Ownr_Entr!H36:H41)+WWheat!H41-SUM(WWheat!H28:H31)+SWheat!H41-SUM(SWheat!H28:H31)+Barley!H41-SUM(Barley!H28:H31)+SumFal!H30-SUM(SumFal!H22:H25)+'Other#1'!H41-SUM('Other#1'!H28:H31)+'Other#2'!H41-SUM('Other#2'!H28:H31))/Ownr_Entr!H56)</f>
        <v>16.763600376011468</v>
      </c>
      <c r="H28" s="41">
        <f>H22-((SUM(Ownr_Entr!I27:I32)+SUM(Ownr_Entr!I36:I41)+WWheat!I41-SUM(WWheat!I28:I31)+SWheat!I41-SUM(SWheat!I28:I31)+Barley!I41-SUM(Barley!I28:I31)+SumFal!I30-SUM(SumFal!I22:I25)+'Other#1'!I41-SUM('Other#1'!I28:I31)+'Other#2'!I41-SUM('Other#2'!I28:I31))/Ownr_Entr!H56)</f>
        <v>18.20781295732187</v>
      </c>
      <c r="I28" s="31"/>
    </row>
    <row r="29" spans="1:9" ht="15.75">
      <c r="A29" s="6" t="s">
        <v>149</v>
      </c>
      <c r="B29" s="7"/>
      <c r="C29" s="7"/>
      <c r="D29" s="7"/>
      <c r="E29" s="7"/>
      <c r="F29" s="7"/>
      <c r="G29" s="7"/>
      <c r="H29" s="7"/>
      <c r="I29" s="31"/>
    </row>
    <row r="30" spans="1:9" ht="15.75">
      <c r="A30" s="6" t="s">
        <v>150</v>
      </c>
      <c r="B30" s="7"/>
      <c r="C30" s="7"/>
      <c r="D30" s="7"/>
      <c r="E30" s="7"/>
      <c r="F30" s="7"/>
      <c r="G30" s="7"/>
      <c r="H30" s="7"/>
      <c r="I30" s="31"/>
    </row>
    <row r="31" spans="1:9" ht="15.75">
      <c r="A31" s="7"/>
      <c r="B31" s="7"/>
      <c r="C31" s="7"/>
      <c r="D31" s="7"/>
      <c r="E31" s="7"/>
      <c r="F31" s="7"/>
      <c r="G31" s="7"/>
      <c r="H31" s="7"/>
      <c r="I31" s="7"/>
    </row>
  </sheetData>
  <mergeCells count="1">
    <mergeCell ref="A2:H2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97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19" style="0" customWidth="1"/>
    <col min="4" max="4" width="10.69921875" style="0" customWidth="1"/>
    <col min="5" max="5" width="13.19921875" style="0" customWidth="1"/>
    <col min="6" max="6" width="10.09765625" style="0" customWidth="1"/>
    <col min="7" max="7" width="17.5" style="0" customWidth="1"/>
    <col min="8" max="8" width="14.19921875" style="0" customWidth="1"/>
    <col min="9" max="9" width="10.69921875" style="0" customWidth="1"/>
  </cols>
  <sheetData>
    <row r="1" ht="15.75">
      <c r="A1" t="s">
        <v>214</v>
      </c>
    </row>
    <row r="2" ht="18.75">
      <c r="A2" s="162" t="s">
        <v>206</v>
      </c>
    </row>
    <row r="3" spans="1:11" ht="15.75">
      <c r="A3" s="7"/>
      <c r="B3" s="7"/>
      <c r="C3" s="7"/>
      <c r="D3" s="7"/>
      <c r="E3" s="7"/>
      <c r="F3" s="7"/>
      <c r="G3" s="7"/>
      <c r="H3" s="7"/>
      <c r="I3" s="7"/>
      <c r="J3" s="1"/>
      <c r="K3" s="1"/>
    </row>
    <row r="4" spans="1:11" ht="18.75">
      <c r="A4" s="200" t="s">
        <v>151</v>
      </c>
      <c r="B4" s="200"/>
      <c r="C4" s="200"/>
      <c r="D4" s="200"/>
      <c r="E4" s="200"/>
      <c r="F4" s="200"/>
      <c r="G4" s="200"/>
      <c r="H4" s="200"/>
      <c r="I4" s="200"/>
      <c r="J4" s="147"/>
      <c r="K4" s="1"/>
    </row>
    <row r="5" spans="1:11" ht="15.75">
      <c r="A5" s="7"/>
      <c r="B5" s="7"/>
      <c r="C5" s="7"/>
      <c r="D5" s="7"/>
      <c r="E5" s="7"/>
      <c r="F5" s="7"/>
      <c r="G5" s="7"/>
      <c r="H5" s="7"/>
      <c r="I5" s="7"/>
      <c r="J5" s="1"/>
      <c r="K5" s="1"/>
    </row>
    <row r="6" spans="1:11" ht="15.75">
      <c r="A6" s="7" t="s">
        <v>202</v>
      </c>
      <c r="B6" s="7"/>
      <c r="C6" s="7"/>
      <c r="D6" s="7"/>
      <c r="E6" s="7"/>
      <c r="F6" s="7"/>
      <c r="G6" s="145" t="s">
        <v>152</v>
      </c>
      <c r="H6" s="7" t="s">
        <v>153</v>
      </c>
      <c r="I6" s="7"/>
      <c r="J6" s="1"/>
      <c r="K6" s="1"/>
    </row>
    <row r="7" spans="1:11" ht="15.75">
      <c r="A7" s="7"/>
      <c r="B7" s="7"/>
      <c r="C7" s="7"/>
      <c r="D7" s="7"/>
      <c r="E7" s="7"/>
      <c r="F7" s="7"/>
      <c r="G7" s="146"/>
      <c r="H7" s="7"/>
      <c r="I7" s="7"/>
      <c r="J7" s="1"/>
      <c r="K7" s="1"/>
    </row>
    <row r="8" spans="1:11" ht="15.75">
      <c r="A8" s="7" t="s">
        <v>154</v>
      </c>
      <c r="B8" s="7"/>
      <c r="C8" s="7"/>
      <c r="D8" s="7"/>
      <c r="E8" s="7"/>
      <c r="F8" s="7"/>
      <c r="G8" s="7"/>
      <c r="H8" s="7"/>
      <c r="I8" s="7"/>
      <c r="J8" s="1"/>
      <c r="K8" s="1"/>
    </row>
    <row r="9" spans="1:11" ht="15.75">
      <c r="A9" s="7" t="s">
        <v>155</v>
      </c>
      <c r="B9" s="7"/>
      <c r="C9" s="7"/>
      <c r="D9" s="7"/>
      <c r="E9" s="7"/>
      <c r="F9" s="7"/>
      <c r="G9" s="7"/>
      <c r="H9" s="7"/>
      <c r="I9" s="7"/>
      <c r="J9" s="1"/>
      <c r="K9" s="1"/>
    </row>
    <row r="10" spans="1:11" ht="15.75">
      <c r="A10" s="7" t="s">
        <v>156</v>
      </c>
      <c r="B10" s="7"/>
      <c r="C10" s="7"/>
      <c r="D10" s="7"/>
      <c r="E10" s="7"/>
      <c r="F10" s="7"/>
      <c r="G10" s="7"/>
      <c r="H10" s="7"/>
      <c r="I10" s="7"/>
      <c r="J10" s="1"/>
      <c r="K10" s="1"/>
    </row>
    <row r="11" spans="1:11" ht="15.75">
      <c r="A11" s="7" t="s">
        <v>207</v>
      </c>
      <c r="B11" s="7"/>
      <c r="C11" s="7"/>
      <c r="D11" s="7"/>
      <c r="E11" s="7"/>
      <c r="F11" s="7"/>
      <c r="G11" s="7"/>
      <c r="H11" s="7"/>
      <c r="I11" s="7"/>
      <c r="J11" s="1"/>
      <c r="K11" s="1"/>
    </row>
    <row r="12" spans="1:11" ht="16.5" thickBot="1">
      <c r="A12" s="7"/>
      <c r="B12" s="7"/>
      <c r="C12" s="7"/>
      <c r="D12" s="7"/>
      <c r="E12" s="7"/>
      <c r="F12" s="7"/>
      <c r="G12" s="160" t="s">
        <v>131</v>
      </c>
      <c r="H12" s="159" t="s">
        <v>132</v>
      </c>
      <c r="I12" s="7"/>
      <c r="J12" s="1"/>
      <c r="K12" s="1"/>
    </row>
    <row r="13" spans="1:11" ht="16.5" thickTop="1">
      <c r="A13" s="174" t="s">
        <v>140</v>
      </c>
      <c r="B13" s="175"/>
      <c r="C13" s="175"/>
      <c r="D13" s="175"/>
      <c r="E13" s="175"/>
      <c r="F13" s="175"/>
      <c r="G13" s="176">
        <f>IF(G6="n",CSResults!G13+SUM(CSResults!H6:H11),SUM(CSResults!$G$5:$G$11))</f>
        <v>72782.87999999999</v>
      </c>
      <c r="H13" s="177">
        <f>IF(G6="n",CSResults!H5,SUM(CSResults!$H$5:$H$11))</f>
        <v>35400</v>
      </c>
      <c r="I13" s="7"/>
      <c r="J13" s="1"/>
      <c r="K13" s="1"/>
    </row>
    <row r="14" spans="1:11" ht="15.75">
      <c r="A14" s="178"/>
      <c r="B14" s="169"/>
      <c r="C14" s="169"/>
      <c r="D14" s="170" t="s">
        <v>157</v>
      </c>
      <c r="E14" s="171"/>
      <c r="F14" s="172"/>
      <c r="G14" s="173"/>
      <c r="H14" s="179">
        <f>G13+H13</f>
        <v>108182.87999999999</v>
      </c>
      <c r="I14" s="7"/>
      <c r="J14" s="1"/>
      <c r="K14" s="1"/>
    </row>
    <row r="15" spans="1:11" ht="16.5" thickBot="1">
      <c r="A15" s="180" t="s">
        <v>158</v>
      </c>
      <c r="B15" s="181"/>
      <c r="C15" s="181"/>
      <c r="D15" s="181"/>
      <c r="E15" s="181"/>
      <c r="F15" s="181"/>
      <c r="G15" s="182">
        <f>G13/H14</f>
        <v>0.6727763209853537</v>
      </c>
      <c r="H15" s="183">
        <f>H13/H14</f>
        <v>0.32722367901464633</v>
      </c>
      <c r="I15" s="7"/>
      <c r="J15" s="1"/>
      <c r="K15" s="1"/>
    </row>
    <row r="16" spans="9:11" ht="16.5" thickTop="1">
      <c r="I16" s="7"/>
      <c r="J16" s="1"/>
      <c r="K16" s="1"/>
    </row>
    <row r="17" spans="1:11" ht="15.75">
      <c r="A17" s="7"/>
      <c r="B17" s="7"/>
      <c r="C17" s="7"/>
      <c r="D17" s="7"/>
      <c r="E17" s="7"/>
      <c r="F17" s="7"/>
      <c r="G17" s="7"/>
      <c r="H17" s="7"/>
      <c r="I17" s="7"/>
      <c r="J17" s="1"/>
      <c r="K17" s="1"/>
    </row>
    <row r="18" spans="1:9" ht="15.75">
      <c r="A18" s="6" t="s">
        <v>38</v>
      </c>
      <c r="B18" s="7"/>
      <c r="C18" s="7"/>
      <c r="D18" s="7"/>
      <c r="E18" s="7"/>
      <c r="F18" s="7"/>
      <c r="G18" s="7"/>
      <c r="H18" s="31"/>
      <c r="I18" s="31"/>
    </row>
    <row r="19" spans="1:9" ht="15.75">
      <c r="A19" s="7"/>
      <c r="B19" s="19" t="s">
        <v>39</v>
      </c>
      <c r="C19" s="20" t="s">
        <v>40</v>
      </c>
      <c r="D19" s="11"/>
      <c r="E19" s="20" t="s">
        <v>41</v>
      </c>
      <c r="F19" s="20" t="s">
        <v>42</v>
      </c>
      <c r="G19" s="56" t="s">
        <v>42</v>
      </c>
      <c r="H19" s="31"/>
      <c r="I19" s="31"/>
    </row>
    <row r="20" spans="1:9" ht="15.75">
      <c r="A20" s="73"/>
      <c r="B20" s="17" t="s">
        <v>44</v>
      </c>
      <c r="C20" s="54" t="s">
        <v>44</v>
      </c>
      <c r="D20" s="54" t="s">
        <v>45</v>
      </c>
      <c r="E20" s="54" t="s">
        <v>46</v>
      </c>
      <c r="F20" s="55" t="s">
        <v>47</v>
      </c>
      <c r="G20" s="60" t="s">
        <v>48</v>
      </c>
      <c r="H20" s="31"/>
      <c r="I20" s="31"/>
    </row>
    <row r="21" spans="1:9" ht="15.75">
      <c r="A21" s="72" t="str">
        <f>Ownr_Entr!A56</f>
        <v>Number of Acres</v>
      </c>
      <c r="B21" s="61">
        <f>Ownr_Entr!B56</f>
        <v>500</v>
      </c>
      <c r="C21" s="61">
        <f>Ownr_Entr!C56</f>
        <v>100</v>
      </c>
      <c r="D21" s="61">
        <f>Ownr_Entr!D56</f>
        <v>100</v>
      </c>
      <c r="E21" s="61">
        <f>Ownr_Entr!E56</f>
        <v>700</v>
      </c>
      <c r="F21" s="62">
        <f>Ownr_Entr!F56</f>
        <v>100</v>
      </c>
      <c r="G21" s="63">
        <f>Ownr_Entr!G56</f>
        <v>0</v>
      </c>
      <c r="H21" s="90" t="s">
        <v>224</v>
      </c>
      <c r="I21" s="31"/>
    </row>
    <row r="22" spans="1:9" ht="15.75">
      <c r="A22" s="57" t="s">
        <v>51</v>
      </c>
      <c r="B22" s="64">
        <f>Ownr_Entr!B57</f>
        <v>30</v>
      </c>
      <c r="C22" s="65">
        <f>Ownr_Entr!C57</f>
        <v>34</v>
      </c>
      <c r="D22" s="65">
        <f>Ownr_Entr!D57</f>
        <v>44</v>
      </c>
      <c r="E22" s="66"/>
      <c r="F22" s="65">
        <f>Ownr_Entr!F57</f>
        <v>1000</v>
      </c>
      <c r="G22" s="67">
        <f>Ownr_Entr!G57</f>
        <v>0</v>
      </c>
      <c r="H22" s="83" t="s">
        <v>159</v>
      </c>
      <c r="I22" s="31"/>
    </row>
    <row r="23" spans="1:9" ht="15.75">
      <c r="A23" s="74" t="s">
        <v>52</v>
      </c>
      <c r="B23" s="68">
        <f>Ownr_Entr!B58</f>
        <v>4</v>
      </c>
      <c r="C23" s="69">
        <f>Ownr_Entr!C58</f>
        <v>4.1</v>
      </c>
      <c r="D23" s="69">
        <f>Ownr_Entr!D58</f>
        <v>3.5</v>
      </c>
      <c r="E23" s="70"/>
      <c r="F23" s="69">
        <f>Ownr_Entr!F58</f>
        <v>0.09</v>
      </c>
      <c r="G23" s="71">
        <f>Ownr_Entr!G58</f>
        <v>0</v>
      </c>
      <c r="H23" s="83" t="s">
        <v>160</v>
      </c>
      <c r="I23" s="31"/>
    </row>
    <row r="24" spans="1:9" ht="15.75">
      <c r="A24" s="79" t="s">
        <v>161</v>
      </c>
      <c r="B24" s="80"/>
      <c r="C24" s="81"/>
      <c r="D24" s="81"/>
      <c r="E24" s="81"/>
      <c r="F24" s="81"/>
      <c r="G24" s="82"/>
      <c r="H24" s="83" t="s">
        <v>162</v>
      </c>
      <c r="I24" s="31"/>
    </row>
    <row r="25" spans="1:9" ht="15.75">
      <c r="A25" s="84" t="s">
        <v>163</v>
      </c>
      <c r="B25" s="85">
        <v>0.1</v>
      </c>
      <c r="C25" s="86">
        <v>0.1</v>
      </c>
      <c r="D25" s="86">
        <v>0.1</v>
      </c>
      <c r="E25" s="163" t="s">
        <v>183</v>
      </c>
      <c r="F25" s="86">
        <v>0.1</v>
      </c>
      <c r="G25" s="87">
        <v>0.1</v>
      </c>
      <c r="H25" s="91" t="s">
        <v>164</v>
      </c>
      <c r="I25" s="31"/>
    </row>
    <row r="26" spans="1:9" ht="15.75">
      <c r="A26" s="31" t="s">
        <v>165</v>
      </c>
      <c r="B26" s="88">
        <f>B21*B22*B23*(1-B25)*$H$15/CSResults!$H$19</f>
        <v>11.780052444527268</v>
      </c>
      <c r="C26" s="88">
        <f>C21*C22*C23*(1-C25)*$H$15/CSResults!$H$19</f>
        <v>2.736898851278502</v>
      </c>
      <c r="D26" s="88">
        <f>D21*D22*D23*(1-D25)*$H$15/CSResults!$H$19</f>
        <v>3.023546794095332</v>
      </c>
      <c r="E26" s="164" t="s">
        <v>183</v>
      </c>
      <c r="F26" s="88">
        <f>F21*F22*F23*(1-F25)*$H$15/CSResults!$H$19</f>
        <v>1.7670078666790903</v>
      </c>
      <c r="G26" s="88">
        <f>G21*G22*G23*(1-G25)*$H$15/CSResults!$H$19</f>
        <v>0</v>
      </c>
      <c r="H26" s="194">
        <f>SUM(B26:G26)</f>
        <v>19.307505956580194</v>
      </c>
      <c r="I26" s="31"/>
    </row>
    <row r="27" spans="1:9" ht="15.75">
      <c r="A27" s="31" t="s">
        <v>166</v>
      </c>
      <c r="B27" s="31"/>
      <c r="C27" s="31"/>
      <c r="D27" s="31"/>
      <c r="E27" s="31"/>
      <c r="F27" s="31"/>
      <c r="G27" t="s">
        <v>226</v>
      </c>
      <c r="H27" s="195">
        <f>CSResults!$H$19</f>
        <v>1500</v>
      </c>
      <c r="I27" s="31"/>
    </row>
    <row r="28" spans="1:9" ht="15.75">
      <c r="A28" s="31" t="s">
        <v>167</v>
      </c>
      <c r="B28" s="31"/>
      <c r="C28" s="31"/>
      <c r="D28" s="31"/>
      <c r="E28" s="31"/>
      <c r="F28" s="31"/>
      <c r="G28" s="31" t="s">
        <v>225</v>
      </c>
      <c r="H28" s="196">
        <f>H26*H27</f>
        <v>28961.25893487029</v>
      </c>
      <c r="I28" s="31"/>
    </row>
    <row r="29" spans="1:9" ht="15.75">
      <c r="A29" s="31"/>
      <c r="B29" s="31"/>
      <c r="C29" s="31"/>
      <c r="D29" s="31"/>
      <c r="E29" s="31"/>
      <c r="F29" s="31"/>
      <c r="G29" s="31"/>
      <c r="H29" s="31"/>
      <c r="I29" s="31"/>
    </row>
    <row r="30" spans="1:10" ht="20.25">
      <c r="A30" s="201" t="s">
        <v>208</v>
      </c>
      <c r="B30" s="201"/>
      <c r="C30" s="201"/>
      <c r="D30" s="201"/>
      <c r="E30" s="201"/>
      <c r="F30" s="201"/>
      <c r="G30" s="201"/>
      <c r="H30" s="201"/>
      <c r="I30" s="148"/>
      <c r="J30" s="149"/>
    </row>
    <row r="31" spans="1:9" ht="15.75">
      <c r="A31" s="31" t="s">
        <v>168</v>
      </c>
      <c r="B31" s="31"/>
      <c r="C31" s="31"/>
      <c r="D31" s="31"/>
      <c r="E31" s="31"/>
      <c r="F31" s="31"/>
      <c r="G31" s="31"/>
      <c r="H31" s="31"/>
      <c r="I31" s="31"/>
    </row>
    <row r="32" spans="1:9" ht="15.75">
      <c r="A32" s="89" t="s">
        <v>169</v>
      </c>
      <c r="B32" s="31"/>
      <c r="C32" s="31"/>
      <c r="D32" s="31"/>
      <c r="E32" s="31"/>
      <c r="F32" s="31"/>
      <c r="G32" s="31"/>
      <c r="H32" s="31"/>
      <c r="I32" s="31"/>
    </row>
    <row r="33" spans="1:9" ht="15.75">
      <c r="A33" s="31" t="s">
        <v>209</v>
      </c>
      <c r="B33" s="31"/>
      <c r="C33" s="31"/>
      <c r="D33" s="31"/>
      <c r="E33" s="31"/>
      <c r="F33" s="31"/>
      <c r="G33" s="31"/>
      <c r="H33" s="31"/>
      <c r="I33" s="31"/>
    </row>
    <row r="34" spans="1:8" ht="15.75">
      <c r="A34" s="31" t="s">
        <v>170</v>
      </c>
      <c r="B34" s="31"/>
      <c r="C34" s="31"/>
      <c r="D34" s="31"/>
      <c r="E34" s="31"/>
      <c r="F34" s="31"/>
      <c r="G34" s="31"/>
      <c r="H34" s="31"/>
    </row>
    <row r="35" spans="1:8" ht="15.75">
      <c r="A35" s="31"/>
      <c r="B35" s="31"/>
      <c r="C35" s="31"/>
      <c r="D35" s="31"/>
      <c r="E35" s="31"/>
      <c r="F35" s="31"/>
      <c r="G35" s="83" t="s">
        <v>174</v>
      </c>
      <c r="H35" s="31"/>
    </row>
    <row r="36" spans="1:8" ht="15.75">
      <c r="A36" s="91" t="s">
        <v>171</v>
      </c>
      <c r="C36" s="31"/>
      <c r="D36" s="31"/>
      <c r="E36" s="31" t="s">
        <v>172</v>
      </c>
      <c r="F36" s="31"/>
      <c r="G36" s="31"/>
      <c r="H36" s="185"/>
    </row>
    <row r="37" spans="1:8" ht="15.75">
      <c r="A37" s="31" t="s">
        <v>216</v>
      </c>
      <c r="B37" s="31"/>
      <c r="C37" s="31"/>
      <c r="D37" s="31"/>
      <c r="E37" s="31"/>
      <c r="F37" s="31"/>
      <c r="G37" s="83" t="s">
        <v>221</v>
      </c>
      <c r="H37" s="31"/>
    </row>
    <row r="38" spans="1:8" ht="15.75">
      <c r="A38" s="31"/>
      <c r="B38" s="31"/>
      <c r="C38" s="31"/>
      <c r="D38" s="31"/>
      <c r="E38" s="31"/>
      <c r="F38" s="31"/>
      <c r="G38" s="31"/>
      <c r="H38" s="31"/>
    </row>
    <row r="39" spans="1:9" ht="15.75">
      <c r="A39" s="31"/>
      <c r="B39" s="31"/>
      <c r="C39" s="31"/>
      <c r="D39" s="31"/>
      <c r="E39" s="31"/>
      <c r="F39" s="31"/>
      <c r="G39" s="31"/>
      <c r="H39" s="83"/>
      <c r="I39" s="31"/>
    </row>
    <row r="40" spans="1:9" ht="15.75">
      <c r="A40" s="31"/>
      <c r="B40" s="90" t="s">
        <v>173</v>
      </c>
      <c r="C40" s="31"/>
      <c r="D40" s="31"/>
      <c r="E40" s="31"/>
      <c r="F40" s="31"/>
      <c r="G40" s="31"/>
      <c r="H40" s="83"/>
      <c r="I40" s="31"/>
    </row>
    <row r="41" spans="1:9" ht="15.75">
      <c r="A41" s="31"/>
      <c r="B41" s="19" t="s">
        <v>39</v>
      </c>
      <c r="C41" s="20" t="s">
        <v>40</v>
      </c>
      <c r="D41" s="11"/>
      <c r="E41" s="20" t="s">
        <v>41</v>
      </c>
      <c r="F41" s="20" t="s">
        <v>42</v>
      </c>
      <c r="G41" s="56" t="s">
        <v>42</v>
      </c>
      <c r="H41" s="91"/>
      <c r="I41" s="31"/>
    </row>
    <row r="42" spans="1:9" ht="15.75">
      <c r="A42" s="31"/>
      <c r="B42" s="16" t="s">
        <v>44</v>
      </c>
      <c r="C42" s="43" t="s">
        <v>44</v>
      </c>
      <c r="D42" s="43" t="s">
        <v>45</v>
      </c>
      <c r="E42" s="43" t="s">
        <v>46</v>
      </c>
      <c r="F42" s="58" t="s">
        <v>47</v>
      </c>
      <c r="G42" s="59" t="s">
        <v>48</v>
      </c>
      <c r="H42" s="31"/>
      <c r="I42" s="31"/>
    </row>
    <row r="43" spans="1:9" ht="15.75">
      <c r="A43" s="75" t="s">
        <v>174</v>
      </c>
      <c r="B43" s="92">
        <v>28</v>
      </c>
      <c r="C43" s="93">
        <v>30</v>
      </c>
      <c r="D43" s="93">
        <v>40</v>
      </c>
      <c r="E43" s="94"/>
      <c r="F43" s="93">
        <v>850</v>
      </c>
      <c r="G43" s="95">
        <v>0</v>
      </c>
      <c r="H43" s="31"/>
      <c r="I43" s="31"/>
    </row>
    <row r="44" spans="1:9" ht="15.75">
      <c r="A44" s="31" t="s">
        <v>175</v>
      </c>
      <c r="B44" s="96">
        <f>IF($B$22&lt;=0,0,B43/$B$22)</f>
        <v>0.9333333333333333</v>
      </c>
      <c r="C44" s="96">
        <f>IF(C22&lt;=0,0,C43/C22)</f>
        <v>0.8823529411764706</v>
      </c>
      <c r="D44" s="96">
        <f>IF(D22&lt;=0,0,D43/D22)</f>
        <v>0.9090909090909091</v>
      </c>
      <c r="E44" s="96"/>
      <c r="F44" s="96">
        <f>IF(F22&lt;=0,0,F43/F22)</f>
        <v>0.85</v>
      </c>
      <c r="G44" s="96">
        <f>IF(G22&lt;=0,0,G43/G22)</f>
        <v>0</v>
      </c>
      <c r="H44" s="97">
        <f>SUM(B26*B44+C26*C44+D26*D44+F26*F44+G26*G44)</f>
        <v>17.660261956420463</v>
      </c>
      <c r="I44" s="31"/>
    </row>
    <row r="45" spans="1:9" ht="15.75">
      <c r="A45" s="31"/>
      <c r="B45" s="31"/>
      <c r="C45" s="31"/>
      <c r="D45" s="31"/>
      <c r="E45" s="31"/>
      <c r="F45" s="31"/>
      <c r="G45" s="197" t="s">
        <v>227</v>
      </c>
      <c r="H45" s="97">
        <f>H44*H27</f>
        <v>26490.392934630694</v>
      </c>
      <c r="I45" s="31"/>
    </row>
    <row r="46" spans="1:9" ht="15.7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8.75">
      <c r="A47" s="31" t="s">
        <v>176</v>
      </c>
      <c r="B47" s="31"/>
      <c r="C47" s="98" t="s">
        <v>210</v>
      </c>
      <c r="D47" s="98"/>
      <c r="E47" s="98"/>
      <c r="F47" s="98"/>
      <c r="G47" s="98"/>
      <c r="H47" s="31"/>
      <c r="I47" s="31"/>
    </row>
    <row r="48" spans="1:9" ht="15.75">
      <c r="A48" s="31" t="s">
        <v>177</v>
      </c>
      <c r="B48" s="99">
        <v>0.02</v>
      </c>
      <c r="C48" s="98" t="s">
        <v>178</v>
      </c>
      <c r="D48" s="98"/>
      <c r="E48" s="98"/>
      <c r="F48" s="98"/>
      <c r="G48" s="98"/>
      <c r="H48" s="83" t="s">
        <v>159</v>
      </c>
      <c r="I48" s="31"/>
    </row>
    <row r="49" spans="1:9" ht="15.75">
      <c r="A49" s="31"/>
      <c r="B49" s="16" t="s">
        <v>39</v>
      </c>
      <c r="C49" s="20" t="s">
        <v>40</v>
      </c>
      <c r="D49" s="11"/>
      <c r="E49" s="20" t="s">
        <v>41</v>
      </c>
      <c r="F49" s="20" t="s">
        <v>42</v>
      </c>
      <c r="G49" s="56" t="s">
        <v>42</v>
      </c>
      <c r="H49" s="83" t="s">
        <v>179</v>
      </c>
      <c r="I49" s="31"/>
    </row>
    <row r="50" spans="1:9" ht="15.75">
      <c r="A50" s="144" t="s">
        <v>180</v>
      </c>
      <c r="B50" s="76" t="s">
        <v>44</v>
      </c>
      <c r="C50" s="77" t="s">
        <v>44</v>
      </c>
      <c r="D50" s="77" t="s">
        <v>45</v>
      </c>
      <c r="E50" s="77" t="s">
        <v>46</v>
      </c>
      <c r="F50" s="78" t="s">
        <v>47</v>
      </c>
      <c r="G50" s="60" t="s">
        <v>48</v>
      </c>
      <c r="H50" s="100" t="s">
        <v>181</v>
      </c>
      <c r="I50" s="31"/>
    </row>
    <row r="51" spans="1:9" ht="15.75">
      <c r="A51" s="31" t="s">
        <v>182</v>
      </c>
      <c r="B51" s="101">
        <f>B54*(1-(3*$B$48))</f>
        <v>28.2</v>
      </c>
      <c r="C51" s="102">
        <f>C54*(1-(3*$B$48))</f>
        <v>31.959999999999997</v>
      </c>
      <c r="D51" s="102">
        <f>D54*(1-(3*$B$48))</f>
        <v>41.36</v>
      </c>
      <c r="E51" s="103" t="s">
        <v>183</v>
      </c>
      <c r="F51" s="102">
        <f>F54*(1-(3*$B$48))</f>
        <v>940</v>
      </c>
      <c r="G51" s="102">
        <f>G54*(1-(3*$B$48))</f>
        <v>0</v>
      </c>
      <c r="H51" s="104">
        <f aca="true" t="shared" si="0" ref="H51:H57">$B$26*(B51/IF($B$22=0,1,$B$22))+$C$26*(C51/IF($C$22=0,1,$C$22))+$D$26*(D51/IF($D$22=0,1,$D$22))+$F$26*(F51/IF($F$22=0,1,$F$22))+$G$26*(G51/IF($G$22=0,1,$G$22))</f>
        <v>18.149055599185377</v>
      </c>
      <c r="I51" s="31"/>
    </row>
    <row r="52" spans="1:9" ht="15.75">
      <c r="A52" s="31" t="s">
        <v>184</v>
      </c>
      <c r="B52" s="105">
        <f>B54*(1-(2*$B$48))</f>
        <v>28.799999999999997</v>
      </c>
      <c r="C52" s="102">
        <f>C54*(1-(2*$B$48))</f>
        <v>32.64</v>
      </c>
      <c r="D52" s="102">
        <f>D54*(1-(2*$B$48))</f>
        <v>42.239999999999995</v>
      </c>
      <c r="E52" s="103" t="s">
        <v>183</v>
      </c>
      <c r="F52" s="102">
        <f>F54*(1-(2*$B$48))</f>
        <v>960</v>
      </c>
      <c r="G52" s="102">
        <f>G54*(1-(2*$B$48))</f>
        <v>0</v>
      </c>
      <c r="H52" s="104">
        <f t="shared" si="0"/>
        <v>18.535205718316984</v>
      </c>
      <c r="I52" s="31"/>
    </row>
    <row r="53" spans="1:9" ht="15.75">
      <c r="A53" s="31" t="s">
        <v>185</v>
      </c>
      <c r="B53" s="105">
        <f>B54*(1-$B$48)</f>
        <v>29.4</v>
      </c>
      <c r="C53" s="102">
        <f>C54*(1-$B$48)</f>
        <v>33.32</v>
      </c>
      <c r="D53" s="102">
        <f>D54*(1-$B$48)</f>
        <v>43.12</v>
      </c>
      <c r="E53" s="103" t="s">
        <v>183</v>
      </c>
      <c r="F53" s="102">
        <f>F54*(1-$B$48)</f>
        <v>980</v>
      </c>
      <c r="G53" s="102">
        <f>G54*(1-$B$48)</f>
        <v>0</v>
      </c>
      <c r="H53" s="104">
        <f t="shared" si="0"/>
        <v>18.921355837448587</v>
      </c>
      <c r="I53" s="31"/>
    </row>
    <row r="54" spans="1:9" ht="15.75">
      <c r="A54" s="111" t="s">
        <v>186</v>
      </c>
      <c r="B54" s="112">
        <f>B22</f>
        <v>30</v>
      </c>
      <c r="C54" s="113">
        <f>C22</f>
        <v>34</v>
      </c>
      <c r="D54" s="113">
        <f>D22</f>
        <v>44</v>
      </c>
      <c r="E54" s="113"/>
      <c r="F54" s="113">
        <f>F22</f>
        <v>1000</v>
      </c>
      <c r="G54" s="113">
        <f>G22</f>
        <v>0</v>
      </c>
      <c r="H54" s="114">
        <f t="shared" si="0"/>
        <v>19.307505956580194</v>
      </c>
      <c r="I54" s="31"/>
    </row>
    <row r="55" spans="1:9" ht="15.75">
      <c r="A55" s="31" t="s">
        <v>187</v>
      </c>
      <c r="B55" s="105">
        <f>B54*(1+$B$48)</f>
        <v>30.6</v>
      </c>
      <c r="C55" s="102">
        <f>C54*(1+$B$48)</f>
        <v>34.68</v>
      </c>
      <c r="D55" s="102">
        <f>D54*(1+$B$48)</f>
        <v>44.88</v>
      </c>
      <c r="E55" s="103" t="s">
        <v>183</v>
      </c>
      <c r="F55" s="102">
        <f>F54*(1+$B$48)</f>
        <v>1020</v>
      </c>
      <c r="G55" s="102">
        <f>G54*(1+$B$48)</f>
        <v>0</v>
      </c>
      <c r="H55" s="104">
        <f t="shared" si="0"/>
        <v>19.693656075711797</v>
      </c>
      <c r="I55" s="31"/>
    </row>
    <row r="56" spans="1:9" ht="15.75">
      <c r="A56" s="31" t="s">
        <v>188</v>
      </c>
      <c r="B56" s="105">
        <f>B54*(1+(2*$B$48))</f>
        <v>31.200000000000003</v>
      </c>
      <c r="C56" s="102">
        <f>C54*(1+(2*$B$48))</f>
        <v>35.36</v>
      </c>
      <c r="D56" s="102">
        <f>D54*(1+(2*$B$48))</f>
        <v>45.760000000000005</v>
      </c>
      <c r="E56" s="103" t="s">
        <v>183</v>
      </c>
      <c r="F56" s="102">
        <f>F54*(1+(2*$B$48))</f>
        <v>1040</v>
      </c>
      <c r="G56" s="102">
        <f>G54*(1+(2*$B$48))</f>
        <v>0</v>
      </c>
      <c r="H56" s="104">
        <f t="shared" si="0"/>
        <v>20.079806194843403</v>
      </c>
      <c r="I56" s="31"/>
    </row>
    <row r="57" spans="1:9" ht="15.75">
      <c r="A57" s="106" t="s">
        <v>189</v>
      </c>
      <c r="B57" s="107">
        <f>B54*(1+(3*$B$48))</f>
        <v>31.8</v>
      </c>
      <c r="C57" s="108">
        <f>C54*(1+(3*$B$48))</f>
        <v>36.04</v>
      </c>
      <c r="D57" s="108">
        <f>D54*(1+(3*$B$48))</f>
        <v>46.64</v>
      </c>
      <c r="E57" s="109" t="s">
        <v>183</v>
      </c>
      <c r="F57" s="108">
        <f>F54*(1+(3*$B$48))</f>
        <v>1060</v>
      </c>
      <c r="G57" s="108">
        <f>G54*(1+(3*$B$48))</f>
        <v>0</v>
      </c>
      <c r="H57" s="110">
        <f t="shared" si="0"/>
        <v>20.465956313975006</v>
      </c>
      <c r="I57" s="31"/>
    </row>
    <row r="58" spans="1:10" ht="15.75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20.25">
      <c r="A59" s="201" t="s">
        <v>211</v>
      </c>
      <c r="B59" s="201"/>
      <c r="C59" s="201"/>
      <c r="D59" s="201"/>
      <c r="E59" s="201"/>
      <c r="F59" s="201"/>
      <c r="G59" s="201"/>
      <c r="H59" s="201"/>
      <c r="I59" s="148"/>
      <c r="J59" s="148"/>
    </row>
    <row r="60" spans="1:8" ht="15.75">
      <c r="A60" s="31"/>
      <c r="B60" s="31"/>
      <c r="C60" s="31"/>
      <c r="D60" s="31"/>
      <c r="E60" s="31"/>
      <c r="F60" s="31"/>
      <c r="G60" s="31"/>
      <c r="H60" s="31"/>
    </row>
    <row r="61" spans="1:8" ht="15.75">
      <c r="A61" s="31"/>
      <c r="B61" s="31"/>
      <c r="C61" s="31"/>
      <c r="D61" s="31"/>
      <c r="E61" s="31"/>
      <c r="F61" s="31"/>
      <c r="G61" s="31"/>
      <c r="H61" s="31"/>
    </row>
    <row r="62" spans="1:8" ht="15.75">
      <c r="A62" s="31" t="s">
        <v>190</v>
      </c>
      <c r="B62" s="31"/>
      <c r="C62" s="31"/>
      <c r="D62" s="31"/>
      <c r="E62" s="31" t="s">
        <v>172</v>
      </c>
      <c r="F62" s="31"/>
      <c r="G62" s="31"/>
      <c r="H62" s="185"/>
    </row>
    <row r="63" spans="1:8" ht="15.75">
      <c r="A63" s="31" t="s">
        <v>217</v>
      </c>
      <c r="B63" s="31"/>
      <c r="C63" s="31"/>
      <c r="D63" s="31"/>
      <c r="E63" s="31"/>
      <c r="F63" s="31"/>
      <c r="G63" s="31"/>
      <c r="H63" s="31"/>
    </row>
    <row r="64" spans="1:8" ht="15.75">
      <c r="A64" s="31"/>
      <c r="B64" s="31"/>
      <c r="C64" s="31"/>
      <c r="D64" s="31"/>
      <c r="E64" s="31"/>
      <c r="F64" s="31"/>
      <c r="G64" s="31"/>
      <c r="H64" s="31"/>
    </row>
    <row r="65" spans="1:10" ht="15.7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>
      <c r="A66" s="31"/>
      <c r="B66" s="90" t="s">
        <v>191</v>
      </c>
      <c r="C66" s="31"/>
      <c r="D66" s="31"/>
      <c r="E66" s="31"/>
      <c r="F66" s="31"/>
      <c r="G66" s="31"/>
      <c r="H66" s="31"/>
      <c r="I66" s="31"/>
      <c r="J66" s="31"/>
    </row>
    <row r="67" spans="1:10" ht="15.75">
      <c r="A67" s="31"/>
      <c r="B67" s="19" t="s">
        <v>39</v>
      </c>
      <c r="C67" s="20" t="s">
        <v>40</v>
      </c>
      <c r="D67" s="11"/>
      <c r="E67" s="20" t="s">
        <v>41</v>
      </c>
      <c r="F67" s="20" t="s">
        <v>42</v>
      </c>
      <c r="G67" s="56" t="s">
        <v>42</v>
      </c>
      <c r="H67" s="31"/>
      <c r="I67" s="31"/>
      <c r="J67" s="31"/>
    </row>
    <row r="68" spans="2:10" ht="15.75">
      <c r="B68" s="16" t="s">
        <v>44</v>
      </c>
      <c r="C68" s="43" t="s">
        <v>44</v>
      </c>
      <c r="D68" s="43" t="s">
        <v>45</v>
      </c>
      <c r="E68" s="43" t="s">
        <v>46</v>
      </c>
      <c r="F68" s="58" t="s">
        <v>47</v>
      </c>
      <c r="G68" s="43" t="s">
        <v>48</v>
      </c>
      <c r="H68" s="121"/>
      <c r="I68" s="31"/>
      <c r="J68" s="31"/>
    </row>
    <row r="69" spans="1:10" ht="15.75">
      <c r="A69" s="118" t="s">
        <v>192</v>
      </c>
      <c r="B69" s="119">
        <v>3.25</v>
      </c>
      <c r="C69" s="116">
        <v>4.75</v>
      </c>
      <c r="D69" s="116">
        <v>2.75</v>
      </c>
      <c r="E69" s="117" t="s">
        <v>183</v>
      </c>
      <c r="F69" s="116">
        <v>0.09</v>
      </c>
      <c r="G69" s="116">
        <v>0</v>
      </c>
      <c r="H69" s="122"/>
      <c r="I69" s="31"/>
      <c r="J69" s="31"/>
    </row>
    <row r="70" spans="1:10" ht="15.75">
      <c r="A70" s="31" t="s">
        <v>193</v>
      </c>
      <c r="B70" s="142">
        <f>IF($B$23&lt;=0,0,B69/$B$23)</f>
        <v>0.8125</v>
      </c>
      <c r="C70" s="142">
        <f>IF(C23&lt;=0,0,C69/C23)</f>
        <v>1.1585365853658538</v>
      </c>
      <c r="D70" s="142">
        <f>IF(D23&lt;=0,0,D69/D23)</f>
        <v>0.7857142857142857</v>
      </c>
      <c r="E70" s="126" t="s">
        <v>183</v>
      </c>
      <c r="F70" s="142">
        <f>IF(F23&lt;=0,0,F69/F23)</f>
        <v>1</v>
      </c>
      <c r="G70" s="142">
        <f>IF(G23&lt;=0,0,G69/G23)</f>
        <v>0</v>
      </c>
      <c r="H70" s="97">
        <f>B26*B70+C26*C70+D26*D70+F26*F70+G26*G70</f>
        <v>16.88474183715575</v>
      </c>
      <c r="I70" s="31"/>
      <c r="J70" s="31"/>
    </row>
    <row r="71" spans="1:10" ht="15.75">
      <c r="A71" s="31"/>
      <c r="B71" s="31"/>
      <c r="C71" s="31"/>
      <c r="D71" s="31"/>
      <c r="E71" s="31"/>
      <c r="F71" s="31"/>
      <c r="G71" s="197" t="s">
        <v>227</v>
      </c>
      <c r="H71" s="97">
        <f>+H70*H27</f>
        <v>25327.112755733626</v>
      </c>
      <c r="I71" s="31"/>
      <c r="J71" s="31"/>
    </row>
    <row r="72" spans="1:10" ht="15.75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8.75">
      <c r="A73" s="31" t="s">
        <v>176</v>
      </c>
      <c r="B73" s="31"/>
      <c r="C73" s="98" t="s">
        <v>212</v>
      </c>
      <c r="D73" s="98"/>
      <c r="E73" s="98"/>
      <c r="F73" s="98"/>
      <c r="G73" s="98"/>
      <c r="H73" s="31"/>
      <c r="I73" s="31"/>
      <c r="J73" s="31"/>
    </row>
    <row r="74" spans="1:10" ht="15.75">
      <c r="A74" s="31" t="s">
        <v>194</v>
      </c>
      <c r="B74" s="99">
        <v>0.05</v>
      </c>
      <c r="C74" s="98" t="s">
        <v>178</v>
      </c>
      <c r="D74" s="98"/>
      <c r="E74" s="98"/>
      <c r="F74" s="98"/>
      <c r="G74" s="98"/>
      <c r="H74" s="83" t="s">
        <v>159</v>
      </c>
      <c r="I74" s="31"/>
      <c r="J74" s="31"/>
    </row>
    <row r="75" spans="1:10" ht="15.75">
      <c r="A75" s="31"/>
      <c r="B75" s="16" t="s">
        <v>39</v>
      </c>
      <c r="C75" s="20" t="s">
        <v>40</v>
      </c>
      <c r="D75" s="11"/>
      <c r="E75" s="20" t="s">
        <v>41</v>
      </c>
      <c r="F75" s="20" t="s">
        <v>42</v>
      </c>
      <c r="G75" s="56" t="s">
        <v>42</v>
      </c>
      <c r="H75" s="83" t="s">
        <v>179</v>
      </c>
      <c r="I75" s="31"/>
      <c r="J75" s="31"/>
    </row>
    <row r="76" spans="1:10" ht="15.75">
      <c r="A76" s="144" t="s">
        <v>195</v>
      </c>
      <c r="B76" s="16" t="s">
        <v>44</v>
      </c>
      <c r="C76" s="43" t="s">
        <v>44</v>
      </c>
      <c r="D76" s="43" t="s">
        <v>45</v>
      </c>
      <c r="E76" s="43" t="s">
        <v>46</v>
      </c>
      <c r="F76" s="58" t="s">
        <v>47</v>
      </c>
      <c r="G76" s="59" t="s">
        <v>48</v>
      </c>
      <c r="H76" s="100" t="s">
        <v>196</v>
      </c>
      <c r="I76" s="31"/>
      <c r="J76" s="31"/>
    </row>
    <row r="77" spans="1:10" ht="15.75">
      <c r="A77" s="31" t="s">
        <v>182</v>
      </c>
      <c r="B77" s="123">
        <f>B80*(1-(3*$B$74))</f>
        <v>3.4</v>
      </c>
      <c r="C77" s="129">
        <f>C80*(1-(3*$B$74))</f>
        <v>3.4849999999999994</v>
      </c>
      <c r="D77" s="129">
        <f>D80*(1-(3*$B$74))</f>
        <v>2.975</v>
      </c>
      <c r="E77" s="130" t="s">
        <v>183</v>
      </c>
      <c r="F77" s="129">
        <f>F80*(1-(3*$B$74))</f>
        <v>0.0765</v>
      </c>
      <c r="G77" s="131">
        <f>G80*(1-(3*$B$74))</f>
        <v>0</v>
      </c>
      <c r="H77" s="128">
        <f aca="true" t="shared" si="1" ref="H77:H83">$B$26*(B77/IF($B$23=0,1,$B$23))+$C$26*(C77/IF($C$23=0,1,$C$23))+$D$26*(D77/IF($D$23=0,1,$D$23))+$F$26*(F77/IF($F$23=0,1,$F$23))+$G$26*(G77/IF($G$23=0,1,$G$23))</f>
        <v>16.411380063093162</v>
      </c>
      <c r="I77" s="31"/>
      <c r="J77" s="31"/>
    </row>
    <row r="78" spans="1:10" ht="15.75">
      <c r="A78" s="31" t="s">
        <v>184</v>
      </c>
      <c r="B78" s="125">
        <f>B80*(1-(2*$B$74))</f>
        <v>3.6</v>
      </c>
      <c r="C78" s="127">
        <f>C80*(1-(2*$B$74))</f>
        <v>3.69</v>
      </c>
      <c r="D78" s="127">
        <f>D80*(1-(2*$B$74))</f>
        <v>3.15</v>
      </c>
      <c r="E78" s="124" t="s">
        <v>183</v>
      </c>
      <c r="F78" s="127">
        <f>F80*(1-(2*$B$74))</f>
        <v>0.081</v>
      </c>
      <c r="G78" s="132">
        <f>G80*(1-(2*$B$74))</f>
        <v>0</v>
      </c>
      <c r="H78" s="128">
        <f t="shared" si="1"/>
        <v>17.376755360922175</v>
      </c>
      <c r="I78" s="31"/>
      <c r="J78" s="31"/>
    </row>
    <row r="79" spans="1:10" ht="15.75">
      <c r="A79" s="31" t="s">
        <v>185</v>
      </c>
      <c r="B79" s="125">
        <f>B80*(1-$B$74)</f>
        <v>3.8</v>
      </c>
      <c r="C79" s="127">
        <f>C80*(1-$B$74)</f>
        <v>3.8949999999999996</v>
      </c>
      <c r="D79" s="127">
        <f>D80*(1-$B$74)</f>
        <v>3.3249999999999997</v>
      </c>
      <c r="E79" s="124" t="s">
        <v>183</v>
      </c>
      <c r="F79" s="127">
        <f>F80*(1-$B$74)</f>
        <v>0.08549999999999999</v>
      </c>
      <c r="G79" s="132">
        <f>G80*(1-$B$74)</f>
        <v>0</v>
      </c>
      <c r="H79" s="128">
        <f t="shared" si="1"/>
        <v>18.342130658751184</v>
      </c>
      <c r="I79" s="31"/>
      <c r="J79" s="31"/>
    </row>
    <row r="80" spans="1:10" ht="15.75">
      <c r="A80" s="111" t="s">
        <v>197</v>
      </c>
      <c r="B80" s="137">
        <f>B23</f>
        <v>4</v>
      </c>
      <c r="C80" s="138">
        <f>C23</f>
        <v>4.1</v>
      </c>
      <c r="D80" s="138">
        <f>D23</f>
        <v>3.5</v>
      </c>
      <c r="E80" s="143" t="s">
        <v>183</v>
      </c>
      <c r="F80" s="138">
        <f>F23</f>
        <v>0.09</v>
      </c>
      <c r="G80" s="139">
        <f>G23</f>
        <v>0</v>
      </c>
      <c r="H80" s="140">
        <f t="shared" si="1"/>
        <v>19.307505956580194</v>
      </c>
      <c r="I80" s="31"/>
      <c r="J80" s="31"/>
    </row>
    <row r="81" spans="1:10" ht="15.75">
      <c r="A81" s="31" t="s">
        <v>187</v>
      </c>
      <c r="B81" s="125">
        <f>B80*(1+$B$74)</f>
        <v>4.2</v>
      </c>
      <c r="C81" s="127">
        <f>C80*(1+$B$74)</f>
        <v>4.305</v>
      </c>
      <c r="D81" s="127">
        <f>D80*(1+$B$74)</f>
        <v>3.6750000000000003</v>
      </c>
      <c r="E81" s="124" t="s">
        <v>183</v>
      </c>
      <c r="F81" s="127">
        <f>F80*(1+$B$74)</f>
        <v>0.0945</v>
      </c>
      <c r="G81" s="132">
        <f>G80*(1+$B$74)</f>
        <v>0</v>
      </c>
      <c r="H81" s="128">
        <f t="shared" si="1"/>
        <v>20.272881254409203</v>
      </c>
      <c r="I81" s="31"/>
      <c r="J81" s="31"/>
    </row>
    <row r="82" spans="1:10" ht="15.75">
      <c r="A82" s="31" t="s">
        <v>188</v>
      </c>
      <c r="B82" s="125">
        <f>B80*(1+(2*$B$74))</f>
        <v>4.4</v>
      </c>
      <c r="C82" s="127">
        <f>C80*(1+(2*$B$74))</f>
        <v>4.51</v>
      </c>
      <c r="D82" s="127">
        <f>D80*(1+(2*$B$74))</f>
        <v>3.8500000000000005</v>
      </c>
      <c r="E82" s="124" t="s">
        <v>183</v>
      </c>
      <c r="F82" s="127">
        <f>F80*(1+(2*$B$74))</f>
        <v>0.099</v>
      </c>
      <c r="G82" s="132">
        <f>G80*(1+(2*$B$74))</f>
        <v>0</v>
      </c>
      <c r="H82" s="128">
        <f t="shared" si="1"/>
        <v>21.238256552238212</v>
      </c>
      <c r="I82" s="31"/>
      <c r="J82" s="31"/>
    </row>
    <row r="83" spans="1:10" ht="15.75">
      <c r="A83" s="115" t="s">
        <v>189</v>
      </c>
      <c r="B83" s="133">
        <f>B80*(1+(3*$B$74))</f>
        <v>4.6</v>
      </c>
      <c r="C83" s="134">
        <f>C80*(1+(3*$B$74))</f>
        <v>4.714999999999999</v>
      </c>
      <c r="D83" s="134">
        <f>D80*(1+(3*$B$74))</f>
        <v>4.0249999999999995</v>
      </c>
      <c r="E83" s="135" t="s">
        <v>183</v>
      </c>
      <c r="F83" s="134">
        <f>F80*(1+(3*$B$74))</f>
        <v>0.1035</v>
      </c>
      <c r="G83" s="136">
        <f>G80*(1+(3*$B$74))</f>
        <v>0</v>
      </c>
      <c r="H83" s="141">
        <f t="shared" si="1"/>
        <v>22.203631850067215</v>
      </c>
      <c r="I83" s="31"/>
      <c r="J83" s="31"/>
    </row>
    <row r="84" spans="1:10" ht="15.75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20.25">
      <c r="A85" s="201" t="s">
        <v>213</v>
      </c>
      <c r="B85" s="201"/>
      <c r="C85" s="201"/>
      <c r="D85" s="201"/>
      <c r="E85" s="201"/>
      <c r="F85" s="201"/>
      <c r="G85" s="201"/>
      <c r="H85" s="201"/>
      <c r="I85" s="148"/>
      <c r="J85" s="148"/>
    </row>
    <row r="86" spans="1:10" ht="15.75">
      <c r="A86" s="31"/>
      <c r="B86" s="90"/>
      <c r="C86" s="31"/>
      <c r="D86" s="31"/>
      <c r="E86" s="31"/>
      <c r="F86" s="31"/>
      <c r="G86" s="31"/>
      <c r="H86" s="31"/>
      <c r="I86" s="31"/>
      <c r="J86" s="31"/>
    </row>
    <row r="87" spans="1:10" ht="15.75">
      <c r="A87" s="31"/>
      <c r="B87" s="19" t="s">
        <v>39</v>
      </c>
      <c r="C87" s="20" t="s">
        <v>40</v>
      </c>
      <c r="D87" s="11"/>
      <c r="E87" s="20" t="s">
        <v>41</v>
      </c>
      <c r="F87" s="20" t="s">
        <v>42</v>
      </c>
      <c r="G87" s="56" t="s">
        <v>42</v>
      </c>
      <c r="H87" s="31" t="s">
        <v>159</v>
      </c>
      <c r="I87" s="31"/>
      <c r="J87" s="31"/>
    </row>
    <row r="88" spans="1:10" ht="15.75">
      <c r="A88" s="31"/>
      <c r="B88" s="16" t="s">
        <v>44</v>
      </c>
      <c r="C88" s="43" t="s">
        <v>44</v>
      </c>
      <c r="D88" s="43" t="s">
        <v>45</v>
      </c>
      <c r="E88" s="43" t="s">
        <v>46</v>
      </c>
      <c r="F88" s="58" t="s">
        <v>47</v>
      </c>
      <c r="G88" s="59" t="s">
        <v>48</v>
      </c>
      <c r="H88" s="31" t="s">
        <v>198</v>
      </c>
      <c r="I88" s="31"/>
      <c r="J88" s="31"/>
    </row>
    <row r="89" spans="1:10" ht="15.75">
      <c r="A89" s="157" t="s">
        <v>174</v>
      </c>
      <c r="B89" s="153">
        <v>28</v>
      </c>
      <c r="C89" s="154">
        <v>30</v>
      </c>
      <c r="D89" s="154">
        <v>40</v>
      </c>
      <c r="E89" s="120" t="s">
        <v>183</v>
      </c>
      <c r="F89" s="154">
        <v>850</v>
      </c>
      <c r="G89" s="155">
        <v>0</v>
      </c>
      <c r="H89" s="31" t="s">
        <v>199</v>
      </c>
      <c r="I89" s="31"/>
      <c r="J89" s="31"/>
    </row>
    <row r="90" spans="1:10" ht="15.75">
      <c r="A90" s="115" t="s">
        <v>192</v>
      </c>
      <c r="B90" s="150">
        <v>3.25</v>
      </c>
      <c r="C90" s="151">
        <v>4.75</v>
      </c>
      <c r="D90" s="151">
        <v>2.75</v>
      </c>
      <c r="E90" s="152" t="s">
        <v>183</v>
      </c>
      <c r="F90" s="151">
        <v>0.09</v>
      </c>
      <c r="G90" s="156">
        <v>0</v>
      </c>
      <c r="H90" s="31" t="s">
        <v>200</v>
      </c>
      <c r="I90" s="31"/>
      <c r="J90" s="31"/>
    </row>
    <row r="91" spans="1:10" ht="15.75">
      <c r="A91" s="31" t="s">
        <v>175</v>
      </c>
      <c r="B91" s="96">
        <f>IF($B$22&lt;=0,0,B89/$B$22)</f>
        <v>0.9333333333333333</v>
      </c>
      <c r="C91" s="96">
        <f>IF($C$22&lt;=0,0,C89/$C$22)</f>
        <v>0.8823529411764706</v>
      </c>
      <c r="D91" s="96">
        <f>IF($D$22&lt;=0,0,D89/$D$22)</f>
        <v>0.9090909090909091</v>
      </c>
      <c r="E91" s="120" t="s">
        <v>183</v>
      </c>
      <c r="F91" s="96">
        <f>IF($F$22&lt;=0,0,F89/$F$22)</f>
        <v>0.85</v>
      </c>
      <c r="G91" s="96">
        <f>IF($G$22&lt;=0,0,G89/$G$22)</f>
        <v>0</v>
      </c>
      <c r="H91" s="31" t="s">
        <v>201</v>
      </c>
      <c r="I91" s="31"/>
      <c r="J91" s="31"/>
    </row>
    <row r="92" spans="1:10" ht="15.75">
      <c r="A92" s="31" t="str">
        <f>A70</f>
        <v>Price Ratio</v>
      </c>
      <c r="B92" s="96">
        <f>IF($B$23&lt;=0,0,B90/$B$23)</f>
        <v>0.8125</v>
      </c>
      <c r="C92" s="96">
        <f>IF($C$23&lt;=0,0,C90/$C$23)</f>
        <v>1.1585365853658538</v>
      </c>
      <c r="D92" s="96">
        <f>IF($D$23&lt;=0,0,D90/$D$23)</f>
        <v>0.7857142857142857</v>
      </c>
      <c r="E92" s="161" t="s">
        <v>183</v>
      </c>
      <c r="F92" s="96">
        <f>IF($F$23&lt;=0,0,F90/$F$23)</f>
        <v>1</v>
      </c>
      <c r="G92" s="96">
        <f>IF($G$23&lt;=0,0,G90/$G$23)</f>
        <v>0</v>
      </c>
      <c r="H92" s="158">
        <f>B26*B91*B92+C26*C91*C92+D26*D91*D92+F26*F91*F92+G26*G91*G92</f>
        <v>15.392601860848963</v>
      </c>
      <c r="I92" s="31"/>
      <c r="J92" s="31"/>
    </row>
    <row r="93" spans="1:10" ht="15.75">
      <c r="A93" s="31"/>
      <c r="B93" s="96"/>
      <c r="C93" s="96"/>
      <c r="D93" s="96"/>
      <c r="E93" s="161"/>
      <c r="F93" s="96"/>
      <c r="G93" s="197" t="s">
        <v>227</v>
      </c>
      <c r="H93" s="158">
        <f>H92*H27</f>
        <v>23088.902791273445</v>
      </c>
      <c r="I93" s="31"/>
      <c r="J93" s="31"/>
    </row>
    <row r="94" spans="1:10" ht="15.75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5.75">
      <c r="A95" s="31"/>
      <c r="B95" s="31" t="s">
        <v>219</v>
      </c>
      <c r="C95" s="31"/>
      <c r="D95" s="31"/>
      <c r="E95" s="31"/>
      <c r="F95" s="31"/>
      <c r="G95" s="31"/>
      <c r="H95" s="31"/>
      <c r="I95" s="31"/>
      <c r="J95" s="31"/>
    </row>
    <row r="96" spans="2:6" ht="15">
      <c r="B96" s="184" t="s">
        <v>220</v>
      </c>
      <c r="D96" s="186" t="s">
        <v>174</v>
      </c>
      <c r="F96" s="186" t="s">
        <v>192</v>
      </c>
    </row>
    <row r="97" spans="2:6" ht="15">
      <c r="B97" s="184" t="s">
        <v>223</v>
      </c>
      <c r="D97" s="184" t="s">
        <v>221</v>
      </c>
      <c r="F97" s="184" t="s">
        <v>222</v>
      </c>
    </row>
  </sheetData>
  <mergeCells count="4">
    <mergeCell ref="A4:I4"/>
    <mergeCell ref="A85:H85"/>
    <mergeCell ref="A59:H59"/>
    <mergeCell ref="A30:H30"/>
  </mergeCells>
  <printOptions horizontalCentered="1"/>
  <pageMargins left="0.75" right="0.75" top="1" bottom="1" header="0.5" footer="0.5"/>
  <pageSetup fitToHeight="1" fitToWidth="1" horizontalDpi="300" verticalDpi="3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Crop Leasing Calculations</dc:title>
  <dc:subject/>
  <dc:creator>Duane Griffith</dc:creator>
  <cp:keywords/>
  <dc:description/>
  <cp:lastModifiedBy>Duane Griffith</cp:lastModifiedBy>
  <cp:lastPrinted>1997-12-30T21:38:00Z</cp:lastPrinted>
  <dcterms:created xsi:type="dcterms:W3CDTF">1997-12-23T21:55:36Z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